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80" windowHeight="1170"/>
  </bookViews>
  <sheets>
    <sheet name="Смета по ТСН-2001" sheetId="5" r:id="rId1"/>
    <sheet name="Акт КС-2 по ТСН-2001" sheetId="6" r:id="rId2"/>
    <sheet name="Макет форма-3" sheetId="7" r:id="rId3"/>
    <sheet name="Source" sheetId="1" r:id="rId4"/>
    <sheet name="SourceObSm" sheetId="2" r:id="rId5"/>
    <sheet name="SmtRes" sheetId="3" r:id="rId6"/>
    <sheet name="EtalonRes" sheetId="4" r:id="rId7"/>
  </sheets>
  <definedNames>
    <definedName name="_xlnm.Print_Titles" localSheetId="1">'Акт КС-2 по ТСН-2001'!$40:$40</definedName>
    <definedName name="_xlnm.Print_Titles" localSheetId="0">'Смета по ТСН-2001'!$31:$31</definedName>
    <definedName name="_xlnm.Print_Area" localSheetId="1">'Акт КС-2 по ТСН-2001'!$A$1:$L$224</definedName>
    <definedName name="_xlnm.Print_Area" localSheetId="0">'Смета по ТСН-2001'!$A$1:$K$216</definedName>
  </definedNames>
  <calcPr calcId="145621"/>
</workbook>
</file>

<file path=xl/calcChain.xml><?xml version="1.0" encoding="utf-8"?>
<calcChain xmlns="http://schemas.openxmlformats.org/spreadsheetml/2006/main">
  <c r="A11" i="5" l="1"/>
  <c r="A1" i="7" l="1"/>
  <c r="I221" i="6"/>
  <c r="I218" i="6"/>
  <c r="D221" i="6"/>
  <c r="D218" i="6"/>
  <c r="K215" i="6"/>
  <c r="D215" i="6"/>
  <c r="K214" i="6"/>
  <c r="D214" i="6"/>
  <c r="K213" i="6"/>
  <c r="D213" i="6"/>
  <c r="I212" i="6"/>
  <c r="K212" i="6"/>
  <c r="I211" i="6"/>
  <c r="K211" i="6"/>
  <c r="I208" i="6"/>
  <c r="K208" i="6"/>
  <c r="I207" i="6"/>
  <c r="K207" i="6"/>
  <c r="AL206" i="6"/>
  <c r="A206" i="6"/>
  <c r="I204" i="6"/>
  <c r="K204" i="6"/>
  <c r="I203" i="6"/>
  <c r="K203" i="6"/>
  <c r="A202" i="6"/>
  <c r="AA200" i="6"/>
  <c r="Z200" i="6"/>
  <c r="Y200" i="6"/>
  <c r="J199" i="6"/>
  <c r="I199" i="6"/>
  <c r="H199" i="6"/>
  <c r="F199" i="6"/>
  <c r="K198" i="6"/>
  <c r="J198" i="6"/>
  <c r="F198" i="6"/>
  <c r="L197" i="6"/>
  <c r="K197" i="6"/>
  <c r="F197" i="6"/>
  <c r="L196" i="6"/>
  <c r="K196" i="6"/>
  <c r="W196" i="6"/>
  <c r="J196" i="6"/>
  <c r="I196" i="6"/>
  <c r="H196" i="6"/>
  <c r="G196" i="6"/>
  <c r="V195" i="6"/>
  <c r="T195" i="6"/>
  <c r="L198" i="6" s="1"/>
  <c r="R195" i="6"/>
  <c r="U195" i="6"/>
  <c r="S195" i="6"/>
  <c r="Q195" i="6"/>
  <c r="J197" i="6" s="1"/>
  <c r="O200" i="6" s="1"/>
  <c r="I202" i="6" s="1"/>
  <c r="F195" i="6"/>
  <c r="E195" i="6"/>
  <c r="C195" i="6"/>
  <c r="B195" i="6"/>
  <c r="A194" i="6"/>
  <c r="I192" i="6"/>
  <c r="K192" i="6"/>
  <c r="I191" i="6"/>
  <c r="K191" i="6"/>
  <c r="A190" i="6"/>
  <c r="AA188" i="6"/>
  <c r="Z188" i="6"/>
  <c r="Y188" i="6"/>
  <c r="X188" i="6"/>
  <c r="I188" i="6"/>
  <c r="K188" i="6"/>
  <c r="L187" i="6"/>
  <c r="P188" i="6" s="1"/>
  <c r="K187" i="6"/>
  <c r="J187" i="6"/>
  <c r="O188" i="6" s="1"/>
  <c r="I187" i="6"/>
  <c r="H187" i="6"/>
  <c r="G187" i="6"/>
  <c r="V187" i="6"/>
  <c r="T187" i="6"/>
  <c r="R187" i="6"/>
  <c r="U187" i="6"/>
  <c r="S187" i="6"/>
  <c r="Q187" i="6"/>
  <c r="F187" i="6"/>
  <c r="E187" i="6"/>
  <c r="C187" i="6"/>
  <c r="B187" i="6"/>
  <c r="AA186" i="6"/>
  <c r="Z186" i="6"/>
  <c r="Y186" i="6"/>
  <c r="I186" i="6"/>
  <c r="D185" i="6"/>
  <c r="L184" i="6"/>
  <c r="P186" i="6" s="1"/>
  <c r="K184" i="6"/>
  <c r="J184" i="6"/>
  <c r="O186" i="6" s="1"/>
  <c r="I184" i="6"/>
  <c r="H184" i="6"/>
  <c r="G184" i="6"/>
  <c r="V184" i="6"/>
  <c r="T184" i="6"/>
  <c r="R184" i="6"/>
  <c r="U184" i="6"/>
  <c r="S184" i="6"/>
  <c r="Q184" i="6"/>
  <c r="F184" i="6"/>
  <c r="E184" i="6"/>
  <c r="C184" i="6"/>
  <c r="B184" i="6"/>
  <c r="AA183" i="6"/>
  <c r="Z183" i="6"/>
  <c r="X183" i="6"/>
  <c r="P183" i="6"/>
  <c r="L182" i="6"/>
  <c r="K183" i="6" s="1"/>
  <c r="K182" i="6"/>
  <c r="J182" i="6"/>
  <c r="I183" i="6" s="1"/>
  <c r="I182" i="6"/>
  <c r="H182" i="6"/>
  <c r="G182" i="6"/>
  <c r="V182" i="6"/>
  <c r="T182" i="6"/>
  <c r="R182" i="6"/>
  <c r="U182" i="6"/>
  <c r="S182" i="6"/>
  <c r="Q182" i="6"/>
  <c r="F182" i="6"/>
  <c r="E182" i="6"/>
  <c r="C182" i="6"/>
  <c r="B182" i="6"/>
  <c r="AA181" i="6"/>
  <c r="Z181" i="6"/>
  <c r="Y181" i="6"/>
  <c r="X181" i="6"/>
  <c r="O181" i="6"/>
  <c r="P181" i="6"/>
  <c r="K190" i="6" s="1"/>
  <c r="D180" i="6"/>
  <c r="L179" i="6"/>
  <c r="K181" i="6" s="1"/>
  <c r="K179" i="6"/>
  <c r="J179" i="6"/>
  <c r="I181" i="6" s="1"/>
  <c r="I179" i="6"/>
  <c r="H179" i="6"/>
  <c r="G179" i="6"/>
  <c r="V179" i="6"/>
  <c r="T179" i="6"/>
  <c r="R179" i="6"/>
  <c r="U179" i="6"/>
  <c r="S179" i="6"/>
  <c r="Q179" i="6"/>
  <c r="F179" i="6"/>
  <c r="E179" i="6"/>
  <c r="C179" i="6"/>
  <c r="B179" i="6"/>
  <c r="A178" i="6"/>
  <c r="I176" i="6"/>
  <c r="K176" i="6"/>
  <c r="I175" i="6"/>
  <c r="K175" i="6"/>
  <c r="A174" i="6"/>
  <c r="Z172" i="6"/>
  <c r="Y172" i="6"/>
  <c r="X172" i="6"/>
  <c r="J171" i="6"/>
  <c r="I171" i="6"/>
  <c r="H171" i="6"/>
  <c r="F171" i="6"/>
  <c r="K170" i="6"/>
  <c r="F170" i="6"/>
  <c r="K169" i="6"/>
  <c r="F169" i="6"/>
  <c r="L168" i="6"/>
  <c r="K168" i="6"/>
  <c r="J168" i="6"/>
  <c r="I168" i="6"/>
  <c r="H168" i="6"/>
  <c r="G168" i="6"/>
  <c r="V167" i="6"/>
  <c r="T167" i="6"/>
  <c r="L170" i="6" s="1"/>
  <c r="R167" i="6"/>
  <c r="L169" i="6" s="1"/>
  <c r="K172" i="6" s="1"/>
  <c r="U167" i="6"/>
  <c r="S167" i="6"/>
  <c r="J170" i="6" s="1"/>
  <c r="Q167" i="6"/>
  <c r="J169" i="6" s="1"/>
  <c r="F167" i="6"/>
  <c r="E167" i="6"/>
  <c r="C167" i="6"/>
  <c r="B167" i="6"/>
  <c r="Z166" i="6"/>
  <c r="Y166" i="6"/>
  <c r="X166" i="6"/>
  <c r="J165" i="6"/>
  <c r="I165" i="6"/>
  <c r="H165" i="6"/>
  <c r="F165" i="6"/>
  <c r="K164" i="6"/>
  <c r="J164" i="6"/>
  <c r="F164" i="6"/>
  <c r="L163" i="6"/>
  <c r="K163" i="6"/>
  <c r="F163" i="6"/>
  <c r="L162" i="6"/>
  <c r="K162" i="6"/>
  <c r="W162" i="6"/>
  <c r="J162" i="6"/>
  <c r="I162" i="6"/>
  <c r="H162" i="6"/>
  <c r="G162" i="6"/>
  <c r="V161" i="6"/>
  <c r="T161" i="6"/>
  <c r="L164" i="6" s="1"/>
  <c r="R161" i="6"/>
  <c r="U161" i="6"/>
  <c r="S161" i="6"/>
  <c r="Q161" i="6"/>
  <c r="J163" i="6" s="1"/>
  <c r="F161" i="6"/>
  <c r="E161" i="6"/>
  <c r="C161" i="6"/>
  <c r="B161" i="6"/>
  <c r="Z160" i="6"/>
  <c r="Y160" i="6"/>
  <c r="X160" i="6"/>
  <c r="J159" i="6"/>
  <c r="I159" i="6"/>
  <c r="H159" i="6"/>
  <c r="F159" i="6"/>
  <c r="K158" i="6"/>
  <c r="F158" i="6"/>
  <c r="K157" i="6"/>
  <c r="F157" i="6"/>
  <c r="L156" i="6"/>
  <c r="K156" i="6"/>
  <c r="J156" i="6"/>
  <c r="I156" i="6"/>
  <c r="H156" i="6"/>
  <c r="G156" i="6"/>
  <c r="V155" i="6"/>
  <c r="T155" i="6"/>
  <c r="L158" i="6" s="1"/>
  <c r="R155" i="6"/>
  <c r="L157" i="6" s="1"/>
  <c r="K160" i="6" s="1"/>
  <c r="U155" i="6"/>
  <c r="S155" i="6"/>
  <c r="J158" i="6" s="1"/>
  <c r="Q155" i="6"/>
  <c r="J157" i="6" s="1"/>
  <c r="F155" i="6"/>
  <c r="E155" i="6"/>
  <c r="C155" i="6"/>
  <c r="B155" i="6"/>
  <c r="Z154" i="6"/>
  <c r="Y154" i="6"/>
  <c r="X154" i="6"/>
  <c r="J153" i="6"/>
  <c r="I153" i="6"/>
  <c r="H153" i="6"/>
  <c r="F153" i="6"/>
  <c r="K152" i="6"/>
  <c r="J152" i="6"/>
  <c r="F152" i="6"/>
  <c r="L151" i="6"/>
  <c r="K151" i="6"/>
  <c r="F151" i="6"/>
  <c r="L150" i="6"/>
  <c r="K150" i="6"/>
  <c r="W150" i="6"/>
  <c r="J150" i="6"/>
  <c r="I150" i="6"/>
  <c r="H150" i="6"/>
  <c r="G150" i="6"/>
  <c r="V149" i="6"/>
  <c r="T149" i="6"/>
  <c r="L152" i="6" s="1"/>
  <c r="R149" i="6"/>
  <c r="U149" i="6"/>
  <c r="S149" i="6"/>
  <c r="Q149" i="6"/>
  <c r="J151" i="6" s="1"/>
  <c r="F149" i="6"/>
  <c r="E149" i="6"/>
  <c r="C149" i="6"/>
  <c r="B149" i="6"/>
  <c r="Z148" i="6"/>
  <c r="Y148" i="6"/>
  <c r="X148" i="6"/>
  <c r="J147" i="6"/>
  <c r="I147" i="6"/>
  <c r="H147" i="6"/>
  <c r="F147" i="6"/>
  <c r="K146" i="6"/>
  <c r="F146" i="6"/>
  <c r="K145" i="6"/>
  <c r="F145" i="6"/>
  <c r="L144" i="6"/>
  <c r="K144" i="6"/>
  <c r="J144" i="6"/>
  <c r="I144" i="6"/>
  <c r="H144" i="6"/>
  <c r="G144" i="6"/>
  <c r="V143" i="6"/>
  <c r="T143" i="6"/>
  <c r="L146" i="6" s="1"/>
  <c r="R143" i="6"/>
  <c r="L145" i="6" s="1"/>
  <c r="K148" i="6" s="1"/>
  <c r="U143" i="6"/>
  <c r="S143" i="6"/>
  <c r="J146" i="6" s="1"/>
  <c r="Q143" i="6"/>
  <c r="J145" i="6" s="1"/>
  <c r="F143" i="6"/>
  <c r="E143" i="6"/>
  <c r="C143" i="6"/>
  <c r="B143" i="6"/>
  <c r="A142" i="6"/>
  <c r="I140" i="6"/>
  <c r="K140" i="6"/>
  <c r="I139" i="6"/>
  <c r="K139" i="6"/>
  <c r="A138" i="6"/>
  <c r="AA136" i="6"/>
  <c r="Z136" i="6"/>
  <c r="X136" i="6"/>
  <c r="J135" i="6"/>
  <c r="I135" i="6"/>
  <c r="H135" i="6"/>
  <c r="F135" i="6"/>
  <c r="K134" i="6"/>
  <c r="J134" i="6"/>
  <c r="F134" i="6"/>
  <c r="L133" i="6"/>
  <c r="K133" i="6"/>
  <c r="F133" i="6"/>
  <c r="K132" i="6"/>
  <c r="J132" i="6"/>
  <c r="F132" i="6"/>
  <c r="L131" i="6"/>
  <c r="K131" i="6"/>
  <c r="J131" i="6"/>
  <c r="I131" i="6"/>
  <c r="H131" i="6"/>
  <c r="G131" i="6"/>
  <c r="L130" i="6"/>
  <c r="K130" i="6"/>
  <c r="W130" i="6"/>
  <c r="J130" i="6"/>
  <c r="I130" i="6"/>
  <c r="H130" i="6"/>
  <c r="G130" i="6"/>
  <c r="L129" i="6"/>
  <c r="K129" i="6"/>
  <c r="J129" i="6"/>
  <c r="I129" i="6"/>
  <c r="H129" i="6"/>
  <c r="G129" i="6"/>
  <c r="L128" i="6"/>
  <c r="K128" i="6"/>
  <c r="J128" i="6"/>
  <c r="I128" i="6"/>
  <c r="H128" i="6"/>
  <c r="G128" i="6"/>
  <c r="V127" i="6"/>
  <c r="L134" i="6" s="1"/>
  <c r="T127" i="6"/>
  <c r="R127" i="6"/>
  <c r="L132" i="6" s="1"/>
  <c r="P136" i="6" s="1"/>
  <c r="U127" i="6"/>
  <c r="S127" i="6"/>
  <c r="J133" i="6" s="1"/>
  <c r="Q127" i="6"/>
  <c r="F127" i="6"/>
  <c r="E127" i="6"/>
  <c r="C127" i="6"/>
  <c r="B127" i="6"/>
  <c r="AA126" i="6"/>
  <c r="Z126" i="6"/>
  <c r="X126" i="6"/>
  <c r="J125" i="6"/>
  <c r="I125" i="6"/>
  <c r="H125" i="6"/>
  <c r="F125" i="6"/>
  <c r="L124" i="6"/>
  <c r="K124" i="6"/>
  <c r="J124" i="6"/>
  <c r="F124" i="6"/>
  <c r="L123" i="6"/>
  <c r="K123" i="6"/>
  <c r="J123" i="6"/>
  <c r="F123" i="6"/>
  <c r="L122" i="6"/>
  <c r="K122" i="6"/>
  <c r="J122" i="6"/>
  <c r="F122" i="6"/>
  <c r="L121" i="6"/>
  <c r="P126" i="6" s="1"/>
  <c r="K121" i="6"/>
  <c r="J121" i="6"/>
  <c r="Y126" i="6" s="1"/>
  <c r="I121" i="6"/>
  <c r="H121" i="6"/>
  <c r="G121" i="6"/>
  <c r="L120" i="6"/>
  <c r="K120" i="6"/>
  <c r="W120" i="6"/>
  <c r="J120" i="6"/>
  <c r="I120" i="6"/>
  <c r="H120" i="6"/>
  <c r="G120" i="6"/>
  <c r="L119" i="6"/>
  <c r="K119" i="6"/>
  <c r="J119" i="6"/>
  <c r="I119" i="6"/>
  <c r="H119" i="6"/>
  <c r="G119" i="6"/>
  <c r="L118" i="6"/>
  <c r="K118" i="6"/>
  <c r="J118" i="6"/>
  <c r="I118" i="6"/>
  <c r="H118" i="6"/>
  <c r="G118" i="6"/>
  <c r="V117" i="6"/>
  <c r="T117" i="6"/>
  <c r="R117" i="6"/>
  <c r="U117" i="6"/>
  <c r="S117" i="6"/>
  <c r="Q117" i="6"/>
  <c r="F117" i="6"/>
  <c r="E117" i="6"/>
  <c r="C117" i="6"/>
  <c r="B117" i="6"/>
  <c r="AA116" i="6"/>
  <c r="Z116" i="6"/>
  <c r="X116" i="6"/>
  <c r="J115" i="6"/>
  <c r="I115" i="6"/>
  <c r="H115" i="6"/>
  <c r="F115" i="6"/>
  <c r="L114" i="6"/>
  <c r="K114" i="6"/>
  <c r="F114" i="6"/>
  <c r="K113" i="6"/>
  <c r="J113" i="6"/>
  <c r="F113" i="6"/>
  <c r="L112" i="6"/>
  <c r="K112" i="6"/>
  <c r="F112" i="6"/>
  <c r="L111" i="6"/>
  <c r="K111" i="6"/>
  <c r="J111" i="6"/>
  <c r="I111" i="6"/>
  <c r="H111" i="6"/>
  <c r="G111" i="6"/>
  <c r="L110" i="6"/>
  <c r="K110" i="6"/>
  <c r="W110" i="6"/>
  <c r="J110" i="6"/>
  <c r="I110" i="6"/>
  <c r="H110" i="6"/>
  <c r="G110" i="6"/>
  <c r="L109" i="6"/>
  <c r="K109" i="6"/>
  <c r="J109" i="6"/>
  <c r="I109" i="6"/>
  <c r="H109" i="6"/>
  <c r="G109" i="6"/>
  <c r="L108" i="6"/>
  <c r="K108" i="6"/>
  <c r="J108" i="6"/>
  <c r="I108" i="6"/>
  <c r="H108" i="6"/>
  <c r="G108" i="6"/>
  <c r="D107" i="6"/>
  <c r="V106" i="6"/>
  <c r="T106" i="6"/>
  <c r="L113" i="6" s="1"/>
  <c r="P116" i="6" s="1"/>
  <c r="K138" i="6" s="1"/>
  <c r="R106" i="6"/>
  <c r="U106" i="6"/>
  <c r="J114" i="6" s="1"/>
  <c r="S106" i="6"/>
  <c r="Q106" i="6"/>
  <c r="J112" i="6" s="1"/>
  <c r="F106" i="6"/>
  <c r="E106" i="6"/>
  <c r="C106" i="6"/>
  <c r="B106" i="6"/>
  <c r="A105" i="6"/>
  <c r="I103" i="6"/>
  <c r="K103" i="6"/>
  <c r="I102" i="6"/>
  <c r="K102" i="6"/>
  <c r="A101" i="6"/>
  <c r="AA99" i="6"/>
  <c r="Z99" i="6"/>
  <c r="Y99" i="6"/>
  <c r="J98" i="6"/>
  <c r="I98" i="6"/>
  <c r="H98" i="6"/>
  <c r="F98" i="6"/>
  <c r="K97" i="6"/>
  <c r="F97" i="6"/>
  <c r="K96" i="6"/>
  <c r="F96" i="6"/>
  <c r="K95" i="6"/>
  <c r="F95" i="6"/>
  <c r="L94" i="6"/>
  <c r="K94" i="6"/>
  <c r="J94" i="6"/>
  <c r="W94" i="6" s="1"/>
  <c r="I94" i="6"/>
  <c r="H94" i="6"/>
  <c r="G94" i="6"/>
  <c r="L93" i="6"/>
  <c r="K93" i="6"/>
  <c r="J93" i="6"/>
  <c r="X99" i="6" s="1"/>
  <c r="I93" i="6"/>
  <c r="H93" i="6"/>
  <c r="G93" i="6"/>
  <c r="L92" i="6"/>
  <c r="K92" i="6"/>
  <c r="W92" i="6"/>
  <c r="J92" i="6"/>
  <c r="I92" i="6"/>
  <c r="H92" i="6"/>
  <c r="G92" i="6"/>
  <c r="V91" i="6"/>
  <c r="L97" i="6" s="1"/>
  <c r="T91" i="6"/>
  <c r="L96" i="6" s="1"/>
  <c r="R91" i="6"/>
  <c r="L95" i="6" s="1"/>
  <c r="U91" i="6"/>
  <c r="J97" i="6" s="1"/>
  <c r="S91" i="6"/>
  <c r="J96" i="6" s="1"/>
  <c r="Q91" i="6"/>
  <c r="J95" i="6" s="1"/>
  <c r="F91" i="6"/>
  <c r="E91" i="6"/>
  <c r="C91" i="6"/>
  <c r="B91" i="6"/>
  <c r="AA90" i="6"/>
  <c r="Z90" i="6"/>
  <c r="X90" i="6"/>
  <c r="J89" i="6"/>
  <c r="I89" i="6"/>
  <c r="H89" i="6"/>
  <c r="F89" i="6"/>
  <c r="K88" i="6"/>
  <c r="F88" i="6"/>
  <c r="K87" i="6"/>
  <c r="F87" i="6"/>
  <c r="K86" i="6"/>
  <c r="F86" i="6"/>
  <c r="L85" i="6"/>
  <c r="K85" i="6"/>
  <c r="I85" i="6"/>
  <c r="AA85" i="6"/>
  <c r="Z85" i="6"/>
  <c r="X85" i="6"/>
  <c r="J85" i="6"/>
  <c r="Y85" i="6" s="1"/>
  <c r="G85" i="6"/>
  <c r="V85" i="6"/>
  <c r="T85" i="6"/>
  <c r="R85" i="6"/>
  <c r="U85" i="6"/>
  <c r="S85" i="6"/>
  <c r="Q85" i="6"/>
  <c r="F85" i="6"/>
  <c r="E85" i="6"/>
  <c r="C85" i="6"/>
  <c r="B85" i="6"/>
  <c r="L84" i="6"/>
  <c r="K84" i="6"/>
  <c r="W84" i="6"/>
  <c r="J84" i="6"/>
  <c r="I84" i="6"/>
  <c r="H84" i="6"/>
  <c r="G84" i="6"/>
  <c r="L83" i="6"/>
  <c r="K83" i="6"/>
  <c r="J83" i="6"/>
  <c r="I83" i="6"/>
  <c r="H83" i="6"/>
  <c r="G83" i="6"/>
  <c r="L82" i="6"/>
  <c r="K82" i="6"/>
  <c r="J82" i="6"/>
  <c r="I82" i="6"/>
  <c r="H82" i="6"/>
  <c r="G82" i="6"/>
  <c r="D81" i="6"/>
  <c r="V80" i="6"/>
  <c r="L88" i="6" s="1"/>
  <c r="T80" i="6"/>
  <c r="L87" i="6" s="1"/>
  <c r="R80" i="6"/>
  <c r="L86" i="6" s="1"/>
  <c r="K90" i="6" s="1"/>
  <c r="U80" i="6"/>
  <c r="J88" i="6" s="1"/>
  <c r="S80" i="6"/>
  <c r="J87" i="6" s="1"/>
  <c r="Q80" i="6"/>
  <c r="J86" i="6" s="1"/>
  <c r="F80" i="6"/>
  <c r="E80" i="6"/>
  <c r="C80" i="6"/>
  <c r="B80" i="6"/>
  <c r="AA79" i="6"/>
  <c r="Z79" i="6"/>
  <c r="Y79" i="6"/>
  <c r="J78" i="6"/>
  <c r="I78" i="6"/>
  <c r="H78" i="6"/>
  <c r="F78" i="6"/>
  <c r="K77" i="6"/>
  <c r="F77" i="6"/>
  <c r="K76" i="6"/>
  <c r="F76" i="6"/>
  <c r="L75" i="6"/>
  <c r="K75" i="6"/>
  <c r="J75" i="6"/>
  <c r="I75" i="6"/>
  <c r="H75" i="6"/>
  <c r="G75" i="6"/>
  <c r="L74" i="6"/>
  <c r="K74" i="6"/>
  <c r="J74" i="6"/>
  <c r="I74" i="6"/>
  <c r="H74" i="6"/>
  <c r="G74" i="6"/>
  <c r="V73" i="6"/>
  <c r="T73" i="6"/>
  <c r="L77" i="6" s="1"/>
  <c r="K79" i="6" s="1"/>
  <c r="R73" i="6"/>
  <c r="L76" i="6" s="1"/>
  <c r="U73" i="6"/>
  <c r="S73" i="6"/>
  <c r="J77" i="6" s="1"/>
  <c r="Q73" i="6"/>
  <c r="J76" i="6" s="1"/>
  <c r="X79" i="6" s="1"/>
  <c r="F73" i="6"/>
  <c r="E73" i="6"/>
  <c r="C73" i="6"/>
  <c r="B73" i="6"/>
  <c r="AA72" i="6"/>
  <c r="Z72" i="6"/>
  <c r="X72" i="6"/>
  <c r="J71" i="6"/>
  <c r="I71" i="6"/>
  <c r="H71" i="6"/>
  <c r="F71" i="6"/>
  <c r="L70" i="6"/>
  <c r="K70" i="6"/>
  <c r="F70" i="6"/>
  <c r="K69" i="6"/>
  <c r="J69" i="6"/>
  <c r="F69" i="6"/>
  <c r="L68" i="6"/>
  <c r="K68" i="6"/>
  <c r="F68" i="6"/>
  <c r="L67" i="6"/>
  <c r="K67" i="6"/>
  <c r="J67" i="6"/>
  <c r="I67" i="6"/>
  <c r="H67" i="6"/>
  <c r="G67" i="6"/>
  <c r="L66" i="6"/>
  <c r="K66" i="6"/>
  <c r="W66" i="6"/>
  <c r="J66" i="6"/>
  <c r="I66" i="6"/>
  <c r="H66" i="6"/>
  <c r="G66" i="6"/>
  <c r="L65" i="6"/>
  <c r="K65" i="6"/>
  <c r="J65" i="6"/>
  <c r="I65" i="6"/>
  <c r="H65" i="6"/>
  <c r="G65" i="6"/>
  <c r="L64" i="6"/>
  <c r="K64" i="6"/>
  <c r="J64" i="6"/>
  <c r="I64" i="6"/>
  <c r="H64" i="6"/>
  <c r="G64" i="6"/>
  <c r="D63" i="6"/>
  <c r="V62" i="6"/>
  <c r="T62" i="6"/>
  <c r="L69" i="6" s="1"/>
  <c r="P72" i="6" s="1"/>
  <c r="R62" i="6"/>
  <c r="U62" i="6"/>
  <c r="J70" i="6" s="1"/>
  <c r="S62" i="6"/>
  <c r="Q62" i="6"/>
  <c r="J68" i="6" s="1"/>
  <c r="F62" i="6"/>
  <c r="E62" i="6"/>
  <c r="C62" i="6"/>
  <c r="B62" i="6"/>
  <c r="AA61" i="6"/>
  <c r="Z61" i="6"/>
  <c r="Y61" i="6"/>
  <c r="K60" i="6"/>
  <c r="J60" i="6"/>
  <c r="X61" i="6" s="1"/>
  <c r="F60" i="6"/>
  <c r="L59" i="6"/>
  <c r="K59" i="6"/>
  <c r="W59" i="6"/>
  <c r="J59" i="6"/>
  <c r="I59" i="6"/>
  <c r="H59" i="6"/>
  <c r="G59" i="6"/>
  <c r="L58" i="6"/>
  <c r="K61" i="6" s="1"/>
  <c r="K58" i="6"/>
  <c r="J58" i="6"/>
  <c r="I58" i="6"/>
  <c r="H58" i="6"/>
  <c r="G58" i="6"/>
  <c r="D57" i="6"/>
  <c r="V56" i="6"/>
  <c r="L60" i="6" s="1"/>
  <c r="P61" i="6" s="1"/>
  <c r="T56" i="6"/>
  <c r="R56" i="6"/>
  <c r="U56" i="6"/>
  <c r="S56" i="6"/>
  <c r="Q56" i="6"/>
  <c r="F56" i="6"/>
  <c r="E56" i="6"/>
  <c r="C56" i="6"/>
  <c r="B56" i="6"/>
  <c r="AA55" i="6"/>
  <c r="Z55" i="6"/>
  <c r="Y55" i="6"/>
  <c r="J54" i="6"/>
  <c r="I54" i="6"/>
  <c r="H54" i="6"/>
  <c r="F54" i="6"/>
  <c r="K53" i="6"/>
  <c r="J53" i="6"/>
  <c r="F53" i="6"/>
  <c r="L52" i="6"/>
  <c r="K52" i="6"/>
  <c r="F52" i="6"/>
  <c r="L51" i="6"/>
  <c r="K51" i="6"/>
  <c r="W51" i="6"/>
  <c r="J51" i="6"/>
  <c r="I51" i="6"/>
  <c r="H51" i="6"/>
  <c r="G51" i="6"/>
  <c r="V50" i="6"/>
  <c r="T50" i="6"/>
  <c r="L53" i="6" s="1"/>
  <c r="R50" i="6"/>
  <c r="U50" i="6"/>
  <c r="S50" i="6"/>
  <c r="Q50" i="6"/>
  <c r="J52" i="6" s="1"/>
  <c r="O55" i="6" s="1"/>
  <c r="F50" i="6"/>
  <c r="E50" i="6"/>
  <c r="C50" i="6"/>
  <c r="B50" i="6"/>
  <c r="AA49" i="6"/>
  <c r="Z49" i="6"/>
  <c r="Y49" i="6"/>
  <c r="J48" i="6"/>
  <c r="I48" i="6"/>
  <c r="H48" i="6"/>
  <c r="F48" i="6"/>
  <c r="K47" i="6"/>
  <c r="F47" i="6"/>
  <c r="K46" i="6"/>
  <c r="F46" i="6"/>
  <c r="L45" i="6"/>
  <c r="K45" i="6"/>
  <c r="J45" i="6"/>
  <c r="I45" i="6"/>
  <c r="H45" i="6"/>
  <c r="G45" i="6"/>
  <c r="D44" i="6"/>
  <c r="V43" i="6"/>
  <c r="T43" i="6"/>
  <c r="L47" i="6" s="1"/>
  <c r="R43" i="6"/>
  <c r="L46" i="6" s="1"/>
  <c r="U43" i="6"/>
  <c r="S43" i="6"/>
  <c r="J47" i="6" s="1"/>
  <c r="Q43" i="6"/>
  <c r="J46" i="6" s="1"/>
  <c r="F43" i="6"/>
  <c r="E43" i="6"/>
  <c r="C43" i="6"/>
  <c r="B43" i="6"/>
  <c r="A42" i="6"/>
  <c r="H32" i="6"/>
  <c r="J27" i="6"/>
  <c r="I27" i="6"/>
  <c r="H27" i="6"/>
  <c r="J22" i="6"/>
  <c r="J21" i="6"/>
  <c r="J20" i="6"/>
  <c r="J19" i="6"/>
  <c r="J16" i="6"/>
  <c r="AJ17" i="6"/>
  <c r="C17" i="6"/>
  <c r="J14" i="6"/>
  <c r="J12" i="6"/>
  <c r="C13" i="6"/>
  <c r="J10" i="6"/>
  <c r="AJ11" i="6"/>
  <c r="C11" i="6"/>
  <c r="J8" i="6"/>
  <c r="C9" i="6"/>
  <c r="A1" i="6"/>
  <c r="H214" i="5"/>
  <c r="H211" i="5"/>
  <c r="C214" i="5"/>
  <c r="C211" i="5"/>
  <c r="J208" i="5"/>
  <c r="C208" i="5"/>
  <c r="J207" i="5"/>
  <c r="C207" i="5"/>
  <c r="J206" i="5"/>
  <c r="C206" i="5"/>
  <c r="J28" i="5"/>
  <c r="J26" i="5"/>
  <c r="J25" i="5"/>
  <c r="J24" i="5"/>
  <c r="J23" i="5"/>
  <c r="J22" i="5"/>
  <c r="J21" i="5"/>
  <c r="I28" i="5"/>
  <c r="H205" i="5"/>
  <c r="J205" i="5"/>
  <c r="H204" i="5"/>
  <c r="J204" i="5"/>
  <c r="H201" i="5"/>
  <c r="J201" i="5"/>
  <c r="H200" i="5"/>
  <c r="J200" i="5"/>
  <c r="AL199" i="5"/>
  <c r="A199" i="5"/>
  <c r="H197" i="5"/>
  <c r="J197" i="5"/>
  <c r="H196" i="5"/>
  <c r="J196" i="5"/>
  <c r="A195" i="5"/>
  <c r="AA193" i="5"/>
  <c r="Z193" i="5"/>
  <c r="Y193" i="5"/>
  <c r="I192" i="5"/>
  <c r="H192" i="5"/>
  <c r="G192" i="5"/>
  <c r="E192" i="5"/>
  <c r="J191" i="5"/>
  <c r="E191" i="5"/>
  <c r="J190" i="5"/>
  <c r="E190" i="5"/>
  <c r="K189" i="5"/>
  <c r="J189" i="5"/>
  <c r="W189" i="5"/>
  <c r="I189" i="5"/>
  <c r="H189" i="5"/>
  <c r="G189" i="5"/>
  <c r="F189" i="5"/>
  <c r="V188" i="5"/>
  <c r="T188" i="5"/>
  <c r="K191" i="5" s="1"/>
  <c r="R188" i="5"/>
  <c r="K190" i="5" s="1"/>
  <c r="U188" i="5"/>
  <c r="S188" i="5"/>
  <c r="I191" i="5" s="1"/>
  <c r="Q188" i="5"/>
  <c r="I190" i="5" s="1"/>
  <c r="E188" i="5"/>
  <c r="D188" i="5"/>
  <c r="B188" i="5"/>
  <c r="A188" i="5"/>
  <c r="A187" i="5"/>
  <c r="H185" i="5"/>
  <c r="J185" i="5"/>
  <c r="H184" i="5"/>
  <c r="J184" i="5"/>
  <c r="A183" i="5"/>
  <c r="AA181" i="5"/>
  <c r="Z181" i="5"/>
  <c r="Y181" i="5"/>
  <c r="X181" i="5"/>
  <c r="J181" i="5"/>
  <c r="K180" i="5"/>
  <c r="P181" i="5" s="1"/>
  <c r="J180" i="5"/>
  <c r="I180" i="5"/>
  <c r="O181" i="5" s="1"/>
  <c r="H180" i="5"/>
  <c r="G180" i="5"/>
  <c r="F180" i="5"/>
  <c r="V180" i="5"/>
  <c r="T180" i="5"/>
  <c r="R180" i="5"/>
  <c r="U180" i="5"/>
  <c r="S180" i="5"/>
  <c r="Q180" i="5"/>
  <c r="E180" i="5"/>
  <c r="D180" i="5"/>
  <c r="B180" i="5"/>
  <c r="A180" i="5"/>
  <c r="AA179" i="5"/>
  <c r="Z179" i="5"/>
  <c r="Y179" i="5"/>
  <c r="C178" i="5"/>
  <c r="K177" i="5"/>
  <c r="P179" i="5" s="1"/>
  <c r="J177" i="5"/>
  <c r="I177" i="5"/>
  <c r="O179" i="5" s="1"/>
  <c r="H177" i="5"/>
  <c r="G177" i="5"/>
  <c r="F177" i="5"/>
  <c r="V177" i="5"/>
  <c r="T177" i="5"/>
  <c r="R177" i="5"/>
  <c r="U177" i="5"/>
  <c r="S177" i="5"/>
  <c r="Q177" i="5"/>
  <c r="E177" i="5"/>
  <c r="D177" i="5"/>
  <c r="B177" i="5"/>
  <c r="A177" i="5"/>
  <c r="AA176" i="5"/>
  <c r="Z176" i="5"/>
  <c r="X176" i="5"/>
  <c r="K175" i="5"/>
  <c r="J176" i="5" s="1"/>
  <c r="J175" i="5"/>
  <c r="I175" i="5"/>
  <c r="H176" i="5" s="1"/>
  <c r="H175" i="5"/>
  <c r="G175" i="5"/>
  <c r="F175" i="5"/>
  <c r="V175" i="5"/>
  <c r="T175" i="5"/>
  <c r="R175" i="5"/>
  <c r="U175" i="5"/>
  <c r="S175" i="5"/>
  <c r="Q175" i="5"/>
  <c r="E175" i="5"/>
  <c r="D175" i="5"/>
  <c r="B175" i="5"/>
  <c r="A175" i="5"/>
  <c r="AA174" i="5"/>
  <c r="Z174" i="5"/>
  <c r="Y174" i="5"/>
  <c r="X174" i="5"/>
  <c r="O174" i="5"/>
  <c r="C173" i="5"/>
  <c r="K172" i="5"/>
  <c r="J174" i="5" s="1"/>
  <c r="J172" i="5"/>
  <c r="I172" i="5"/>
  <c r="H174" i="5" s="1"/>
  <c r="H172" i="5"/>
  <c r="G172" i="5"/>
  <c r="F172" i="5"/>
  <c r="V172" i="5"/>
  <c r="T172" i="5"/>
  <c r="R172" i="5"/>
  <c r="U172" i="5"/>
  <c r="S172" i="5"/>
  <c r="Q172" i="5"/>
  <c r="E172" i="5"/>
  <c r="D172" i="5"/>
  <c r="B172" i="5"/>
  <c r="A172" i="5"/>
  <c r="A171" i="5"/>
  <c r="H169" i="5"/>
  <c r="J169" i="5"/>
  <c r="H168" i="5"/>
  <c r="J168" i="5"/>
  <c r="A167" i="5"/>
  <c r="Z165" i="5"/>
  <c r="Y165" i="5"/>
  <c r="X165" i="5"/>
  <c r="I164" i="5"/>
  <c r="H164" i="5"/>
  <c r="G164" i="5"/>
  <c r="E164" i="5"/>
  <c r="J163" i="5"/>
  <c r="E163" i="5"/>
  <c r="J162" i="5"/>
  <c r="E162" i="5"/>
  <c r="K161" i="5"/>
  <c r="J161" i="5"/>
  <c r="I161" i="5"/>
  <c r="H161" i="5"/>
  <c r="G161" i="5"/>
  <c r="F161" i="5"/>
  <c r="V160" i="5"/>
  <c r="T160" i="5"/>
  <c r="K163" i="5" s="1"/>
  <c r="R160" i="5"/>
  <c r="K162" i="5" s="1"/>
  <c r="U160" i="5"/>
  <c r="S160" i="5"/>
  <c r="I163" i="5" s="1"/>
  <c r="Q160" i="5"/>
  <c r="I162" i="5" s="1"/>
  <c r="E160" i="5"/>
  <c r="D160" i="5"/>
  <c r="B160" i="5"/>
  <c r="A160" i="5"/>
  <c r="Z159" i="5"/>
  <c r="Y159" i="5"/>
  <c r="X159" i="5"/>
  <c r="I158" i="5"/>
  <c r="H158" i="5"/>
  <c r="G158" i="5"/>
  <c r="E158" i="5"/>
  <c r="J157" i="5"/>
  <c r="E157" i="5"/>
  <c r="J156" i="5"/>
  <c r="E156" i="5"/>
  <c r="K155" i="5"/>
  <c r="J155" i="5"/>
  <c r="I155" i="5"/>
  <c r="W155" i="5" s="1"/>
  <c r="H155" i="5"/>
  <c r="G155" i="5"/>
  <c r="F155" i="5"/>
  <c r="V154" i="5"/>
  <c r="T154" i="5"/>
  <c r="K157" i="5" s="1"/>
  <c r="R154" i="5"/>
  <c r="K156" i="5" s="1"/>
  <c r="U154" i="5"/>
  <c r="S154" i="5"/>
  <c r="I157" i="5" s="1"/>
  <c r="Q154" i="5"/>
  <c r="I156" i="5" s="1"/>
  <c r="E154" i="5"/>
  <c r="D154" i="5"/>
  <c r="B154" i="5"/>
  <c r="A154" i="5"/>
  <c r="Z153" i="5"/>
  <c r="Y153" i="5"/>
  <c r="X153" i="5"/>
  <c r="I152" i="5"/>
  <c r="H152" i="5"/>
  <c r="G152" i="5"/>
  <c r="E152" i="5"/>
  <c r="J151" i="5"/>
  <c r="E151" i="5"/>
  <c r="J150" i="5"/>
  <c r="E150" i="5"/>
  <c r="K149" i="5"/>
  <c r="J149" i="5"/>
  <c r="I149" i="5"/>
  <c r="H149" i="5"/>
  <c r="G149" i="5"/>
  <c r="F149" i="5"/>
  <c r="V148" i="5"/>
  <c r="T148" i="5"/>
  <c r="K151" i="5" s="1"/>
  <c r="J153" i="5" s="1"/>
  <c r="R148" i="5"/>
  <c r="K150" i="5" s="1"/>
  <c r="U148" i="5"/>
  <c r="S148" i="5"/>
  <c r="I151" i="5" s="1"/>
  <c r="Q148" i="5"/>
  <c r="I150" i="5" s="1"/>
  <c r="E148" i="5"/>
  <c r="D148" i="5"/>
  <c r="B148" i="5"/>
  <c r="A148" i="5"/>
  <c r="Z147" i="5"/>
  <c r="Y147" i="5"/>
  <c r="X147" i="5"/>
  <c r="I146" i="5"/>
  <c r="H146" i="5"/>
  <c r="G146" i="5"/>
  <c r="E146" i="5"/>
  <c r="J145" i="5"/>
  <c r="E145" i="5"/>
  <c r="J144" i="5"/>
  <c r="E144" i="5"/>
  <c r="K143" i="5"/>
  <c r="J143" i="5"/>
  <c r="W143" i="5"/>
  <c r="I143" i="5"/>
  <c r="H143" i="5"/>
  <c r="G143" i="5"/>
  <c r="F143" i="5"/>
  <c r="V142" i="5"/>
  <c r="T142" i="5"/>
  <c r="K145" i="5" s="1"/>
  <c r="R142" i="5"/>
  <c r="K144" i="5" s="1"/>
  <c r="U142" i="5"/>
  <c r="S142" i="5"/>
  <c r="I145" i="5" s="1"/>
  <c r="Q142" i="5"/>
  <c r="I144" i="5" s="1"/>
  <c r="E142" i="5"/>
  <c r="D142" i="5"/>
  <c r="B142" i="5"/>
  <c r="A142" i="5"/>
  <c r="Z141" i="5"/>
  <c r="Y141" i="5"/>
  <c r="X141" i="5"/>
  <c r="I140" i="5"/>
  <c r="H140" i="5"/>
  <c r="G140" i="5"/>
  <c r="E140" i="5"/>
  <c r="J139" i="5"/>
  <c r="E139" i="5"/>
  <c r="J138" i="5"/>
  <c r="E138" i="5"/>
  <c r="K137" i="5"/>
  <c r="J137" i="5"/>
  <c r="I137" i="5"/>
  <c r="H137" i="5"/>
  <c r="G137" i="5"/>
  <c r="F137" i="5"/>
  <c r="V136" i="5"/>
  <c r="T136" i="5"/>
  <c r="K139" i="5" s="1"/>
  <c r="R136" i="5"/>
  <c r="K138" i="5" s="1"/>
  <c r="U136" i="5"/>
  <c r="S136" i="5"/>
  <c r="I139" i="5" s="1"/>
  <c r="Q136" i="5"/>
  <c r="I138" i="5" s="1"/>
  <c r="E136" i="5"/>
  <c r="D136" i="5"/>
  <c r="B136" i="5"/>
  <c r="A136" i="5"/>
  <c r="A135" i="5"/>
  <c r="H133" i="5"/>
  <c r="J133" i="5"/>
  <c r="H132" i="5"/>
  <c r="J132" i="5"/>
  <c r="A131" i="5"/>
  <c r="AA129" i="5"/>
  <c r="Z129" i="5"/>
  <c r="X129" i="5"/>
  <c r="I128" i="5"/>
  <c r="H128" i="5"/>
  <c r="G128" i="5"/>
  <c r="E128" i="5"/>
  <c r="J127" i="5"/>
  <c r="E127" i="5"/>
  <c r="J126" i="5"/>
  <c r="E126" i="5"/>
  <c r="J125" i="5"/>
  <c r="E125" i="5"/>
  <c r="K124" i="5"/>
  <c r="J124" i="5"/>
  <c r="I124" i="5"/>
  <c r="H124" i="5"/>
  <c r="G124" i="5"/>
  <c r="F124" i="5"/>
  <c r="K123" i="5"/>
  <c r="J123" i="5"/>
  <c r="I123" i="5"/>
  <c r="W123" i="5" s="1"/>
  <c r="H123" i="5"/>
  <c r="G123" i="5"/>
  <c r="F123" i="5"/>
  <c r="K122" i="5"/>
  <c r="J122" i="5"/>
  <c r="I122" i="5"/>
  <c r="H122" i="5"/>
  <c r="G122" i="5"/>
  <c r="F122" i="5"/>
  <c r="K121" i="5"/>
  <c r="J121" i="5"/>
  <c r="I121" i="5"/>
  <c r="H121" i="5"/>
  <c r="G121" i="5"/>
  <c r="F121" i="5"/>
  <c r="V120" i="5"/>
  <c r="K127" i="5" s="1"/>
  <c r="T120" i="5"/>
  <c r="K126" i="5" s="1"/>
  <c r="R120" i="5"/>
  <c r="K125" i="5" s="1"/>
  <c r="U120" i="5"/>
  <c r="I127" i="5" s="1"/>
  <c r="S120" i="5"/>
  <c r="I126" i="5" s="1"/>
  <c r="Q120" i="5"/>
  <c r="I125" i="5" s="1"/>
  <c r="E120" i="5"/>
  <c r="D120" i="5"/>
  <c r="B120" i="5"/>
  <c r="A120" i="5"/>
  <c r="AA119" i="5"/>
  <c r="Z119" i="5"/>
  <c r="X119" i="5"/>
  <c r="I118" i="5"/>
  <c r="H118" i="5"/>
  <c r="G118" i="5"/>
  <c r="E118" i="5"/>
  <c r="J117" i="5"/>
  <c r="E117" i="5"/>
  <c r="J116" i="5"/>
  <c r="E116" i="5"/>
  <c r="J115" i="5"/>
  <c r="E115" i="5"/>
  <c r="K114" i="5"/>
  <c r="J114" i="5"/>
  <c r="I114" i="5"/>
  <c r="H114" i="5"/>
  <c r="G114" i="5"/>
  <c r="F114" i="5"/>
  <c r="K113" i="5"/>
  <c r="J113" i="5"/>
  <c r="W113" i="5"/>
  <c r="I113" i="5"/>
  <c r="H113" i="5"/>
  <c r="G113" i="5"/>
  <c r="F113" i="5"/>
  <c r="K112" i="5"/>
  <c r="J112" i="5"/>
  <c r="I112" i="5"/>
  <c r="H112" i="5"/>
  <c r="G112" i="5"/>
  <c r="F112" i="5"/>
  <c r="K111" i="5"/>
  <c r="J111" i="5"/>
  <c r="I111" i="5"/>
  <c r="H111" i="5"/>
  <c r="G111" i="5"/>
  <c r="F111" i="5"/>
  <c r="V110" i="5"/>
  <c r="K117" i="5" s="1"/>
  <c r="T110" i="5"/>
  <c r="K116" i="5" s="1"/>
  <c r="R110" i="5"/>
  <c r="K115" i="5" s="1"/>
  <c r="U110" i="5"/>
  <c r="I117" i="5" s="1"/>
  <c r="S110" i="5"/>
  <c r="I116" i="5" s="1"/>
  <c r="Q110" i="5"/>
  <c r="I115" i="5" s="1"/>
  <c r="E110" i="5"/>
  <c r="D110" i="5"/>
  <c r="B110" i="5"/>
  <c r="A110" i="5"/>
  <c r="AA109" i="5"/>
  <c r="Z109" i="5"/>
  <c r="X109" i="5"/>
  <c r="I108" i="5"/>
  <c r="H108" i="5"/>
  <c r="G108" i="5"/>
  <c r="E108" i="5"/>
  <c r="J107" i="5"/>
  <c r="I107" i="5"/>
  <c r="E107" i="5"/>
  <c r="K106" i="5"/>
  <c r="J106" i="5"/>
  <c r="E106" i="5"/>
  <c r="J105" i="5"/>
  <c r="E105" i="5"/>
  <c r="K104" i="5"/>
  <c r="J104" i="5"/>
  <c r="I104" i="5"/>
  <c r="H104" i="5"/>
  <c r="G104" i="5"/>
  <c r="F104" i="5"/>
  <c r="K103" i="5"/>
  <c r="J103" i="5"/>
  <c r="W103" i="5"/>
  <c r="I103" i="5"/>
  <c r="H103" i="5"/>
  <c r="G103" i="5"/>
  <c r="F103" i="5"/>
  <c r="K102" i="5"/>
  <c r="J102" i="5"/>
  <c r="I102" i="5"/>
  <c r="H102" i="5"/>
  <c r="G102" i="5"/>
  <c r="F102" i="5"/>
  <c r="K101" i="5"/>
  <c r="J101" i="5"/>
  <c r="I101" i="5"/>
  <c r="H101" i="5"/>
  <c r="G101" i="5"/>
  <c r="F101" i="5"/>
  <c r="C100" i="5"/>
  <c r="V99" i="5"/>
  <c r="K107" i="5" s="1"/>
  <c r="T99" i="5"/>
  <c r="R99" i="5"/>
  <c r="K105" i="5" s="1"/>
  <c r="U99" i="5"/>
  <c r="S99" i="5"/>
  <c r="I106" i="5" s="1"/>
  <c r="Q99" i="5"/>
  <c r="I105" i="5" s="1"/>
  <c r="E99" i="5"/>
  <c r="D99" i="5"/>
  <c r="B99" i="5"/>
  <c r="A99" i="5"/>
  <c r="A98" i="5"/>
  <c r="H96" i="5"/>
  <c r="J96" i="5"/>
  <c r="H95" i="5"/>
  <c r="J95" i="5"/>
  <c r="A94" i="5"/>
  <c r="AA92" i="5"/>
  <c r="Z92" i="5"/>
  <c r="Y92" i="5"/>
  <c r="I91" i="5"/>
  <c r="H91" i="5"/>
  <c r="G91" i="5"/>
  <c r="E91" i="5"/>
  <c r="J90" i="5"/>
  <c r="E90" i="5"/>
  <c r="J89" i="5"/>
  <c r="E89" i="5"/>
  <c r="J88" i="5"/>
  <c r="E88" i="5"/>
  <c r="K87" i="5"/>
  <c r="J87" i="5"/>
  <c r="I87" i="5"/>
  <c r="W87" i="5" s="1"/>
  <c r="H87" i="5"/>
  <c r="G87" i="5"/>
  <c r="F87" i="5"/>
  <c r="K86" i="5"/>
  <c r="J86" i="5"/>
  <c r="I86" i="5"/>
  <c r="H86" i="5"/>
  <c r="G86" i="5"/>
  <c r="F86" i="5"/>
  <c r="K85" i="5"/>
  <c r="J85" i="5"/>
  <c r="I85" i="5"/>
  <c r="W85" i="5" s="1"/>
  <c r="H85" i="5"/>
  <c r="G85" i="5"/>
  <c r="F85" i="5"/>
  <c r="V84" i="5"/>
  <c r="K90" i="5" s="1"/>
  <c r="T84" i="5"/>
  <c r="K89" i="5" s="1"/>
  <c r="R84" i="5"/>
  <c r="K88" i="5" s="1"/>
  <c r="J92" i="5" s="1"/>
  <c r="U84" i="5"/>
  <c r="I90" i="5" s="1"/>
  <c r="S84" i="5"/>
  <c r="I89" i="5" s="1"/>
  <c r="X92" i="5" s="1"/>
  <c r="Q84" i="5"/>
  <c r="I88" i="5" s="1"/>
  <c r="E84" i="5"/>
  <c r="D84" i="5"/>
  <c r="B84" i="5"/>
  <c r="A84" i="5"/>
  <c r="AA83" i="5"/>
  <c r="Z83" i="5"/>
  <c r="X83" i="5"/>
  <c r="I82" i="5"/>
  <c r="H82" i="5"/>
  <c r="G82" i="5"/>
  <c r="E82" i="5"/>
  <c r="J81" i="5"/>
  <c r="E81" i="5"/>
  <c r="J80" i="5"/>
  <c r="E80" i="5"/>
  <c r="J79" i="5"/>
  <c r="E79" i="5"/>
  <c r="K78" i="5"/>
  <c r="J78" i="5"/>
  <c r="H78" i="5"/>
  <c r="AA78" i="5"/>
  <c r="Z78" i="5"/>
  <c r="X78" i="5"/>
  <c r="I78" i="5"/>
  <c r="Y78" i="5" s="1"/>
  <c r="F78" i="5"/>
  <c r="V78" i="5"/>
  <c r="T78" i="5"/>
  <c r="R78" i="5"/>
  <c r="U78" i="5"/>
  <c r="S78" i="5"/>
  <c r="Q78" i="5"/>
  <c r="E78" i="5"/>
  <c r="D78" i="5"/>
  <c r="B78" i="5"/>
  <c r="A78" i="5"/>
  <c r="K77" i="5"/>
  <c r="J77" i="5"/>
  <c r="I77" i="5"/>
  <c r="W77" i="5" s="1"/>
  <c r="H77" i="5"/>
  <c r="G77" i="5"/>
  <c r="F77" i="5"/>
  <c r="K76" i="5"/>
  <c r="J76" i="5"/>
  <c r="I76" i="5"/>
  <c r="H76" i="5"/>
  <c r="G76" i="5"/>
  <c r="F76" i="5"/>
  <c r="K75" i="5"/>
  <c r="J75" i="5"/>
  <c r="I75" i="5"/>
  <c r="H75" i="5"/>
  <c r="G75" i="5"/>
  <c r="F75" i="5"/>
  <c r="C74" i="5"/>
  <c r="V73" i="5"/>
  <c r="K81" i="5" s="1"/>
  <c r="T73" i="5"/>
  <c r="K80" i="5" s="1"/>
  <c r="R73" i="5"/>
  <c r="K79" i="5" s="1"/>
  <c r="U73" i="5"/>
  <c r="I81" i="5" s="1"/>
  <c r="S73" i="5"/>
  <c r="I80" i="5" s="1"/>
  <c r="Q73" i="5"/>
  <c r="I79" i="5" s="1"/>
  <c r="E73" i="5"/>
  <c r="D73" i="5"/>
  <c r="B73" i="5"/>
  <c r="A73" i="5"/>
  <c r="AA72" i="5"/>
  <c r="Z72" i="5"/>
  <c r="Y72" i="5"/>
  <c r="I71" i="5"/>
  <c r="H71" i="5"/>
  <c r="G71" i="5"/>
  <c r="E71" i="5"/>
  <c r="J70" i="5"/>
  <c r="E70" i="5"/>
  <c r="J69" i="5"/>
  <c r="E69" i="5"/>
  <c r="K68" i="5"/>
  <c r="J68" i="5"/>
  <c r="I68" i="5"/>
  <c r="H68" i="5"/>
  <c r="G68" i="5"/>
  <c r="F68" i="5"/>
  <c r="K67" i="5"/>
  <c r="J67" i="5"/>
  <c r="I67" i="5"/>
  <c r="H67" i="5"/>
  <c r="G67" i="5"/>
  <c r="F67" i="5"/>
  <c r="V66" i="5"/>
  <c r="T66" i="5"/>
  <c r="K70" i="5" s="1"/>
  <c r="R66" i="5"/>
  <c r="K69" i="5" s="1"/>
  <c r="J72" i="5" s="1"/>
  <c r="U66" i="5"/>
  <c r="S66" i="5"/>
  <c r="I70" i="5" s="1"/>
  <c r="Q66" i="5"/>
  <c r="I69" i="5" s="1"/>
  <c r="E66" i="5"/>
  <c r="D66" i="5"/>
  <c r="B66" i="5"/>
  <c r="A66" i="5"/>
  <c r="AA65" i="5"/>
  <c r="Z65" i="5"/>
  <c r="X65" i="5"/>
  <c r="I64" i="5"/>
  <c r="H64" i="5"/>
  <c r="G64" i="5"/>
  <c r="E64" i="5"/>
  <c r="J63" i="5"/>
  <c r="E63" i="5"/>
  <c r="J62" i="5"/>
  <c r="E62" i="5"/>
  <c r="J61" i="5"/>
  <c r="E61" i="5"/>
  <c r="K60" i="5"/>
  <c r="J60" i="5"/>
  <c r="I60" i="5"/>
  <c r="H60" i="5"/>
  <c r="G60" i="5"/>
  <c r="F60" i="5"/>
  <c r="K59" i="5"/>
  <c r="J59" i="5"/>
  <c r="I59" i="5"/>
  <c r="W59" i="5" s="1"/>
  <c r="H59" i="5"/>
  <c r="G59" i="5"/>
  <c r="F59" i="5"/>
  <c r="K58" i="5"/>
  <c r="J58" i="5"/>
  <c r="I58" i="5"/>
  <c r="H58" i="5"/>
  <c r="G58" i="5"/>
  <c r="F58" i="5"/>
  <c r="K57" i="5"/>
  <c r="J57" i="5"/>
  <c r="I57" i="5"/>
  <c r="W57" i="5" s="1"/>
  <c r="H57" i="5"/>
  <c r="G57" i="5"/>
  <c r="F57" i="5"/>
  <c r="C56" i="5"/>
  <c r="V55" i="5"/>
  <c r="K63" i="5" s="1"/>
  <c r="T55" i="5"/>
  <c r="K62" i="5" s="1"/>
  <c r="R55" i="5"/>
  <c r="K61" i="5" s="1"/>
  <c r="U55" i="5"/>
  <c r="I63" i="5" s="1"/>
  <c r="S55" i="5"/>
  <c r="I62" i="5" s="1"/>
  <c r="Q55" i="5"/>
  <c r="I61" i="5" s="1"/>
  <c r="E55" i="5"/>
  <c r="D55" i="5"/>
  <c r="B55" i="5"/>
  <c r="A55" i="5"/>
  <c r="AA54" i="5"/>
  <c r="Z54" i="5"/>
  <c r="Y54" i="5"/>
  <c r="J53" i="5"/>
  <c r="E53" i="5"/>
  <c r="K52" i="5"/>
  <c r="J52" i="5"/>
  <c r="I52" i="5"/>
  <c r="W52" i="5" s="1"/>
  <c r="H52" i="5"/>
  <c r="G52" i="5"/>
  <c r="F52" i="5"/>
  <c r="K51" i="5"/>
  <c r="J51" i="5"/>
  <c r="I51" i="5"/>
  <c r="H51" i="5"/>
  <c r="G51" i="5"/>
  <c r="F51" i="5"/>
  <c r="C50" i="5"/>
  <c r="V49" i="5"/>
  <c r="K53" i="5" s="1"/>
  <c r="T49" i="5"/>
  <c r="R49" i="5"/>
  <c r="U49" i="5"/>
  <c r="I53" i="5" s="1"/>
  <c r="O54" i="5" s="1"/>
  <c r="S49" i="5"/>
  <c r="Q49" i="5"/>
  <c r="E49" i="5"/>
  <c r="D49" i="5"/>
  <c r="B49" i="5"/>
  <c r="A49" i="5"/>
  <c r="AA48" i="5"/>
  <c r="Z48" i="5"/>
  <c r="Y48" i="5"/>
  <c r="I47" i="5"/>
  <c r="H47" i="5"/>
  <c r="G47" i="5"/>
  <c r="E47" i="5"/>
  <c r="J46" i="5"/>
  <c r="E46" i="5"/>
  <c r="J45" i="5"/>
  <c r="E45" i="5"/>
  <c r="K44" i="5"/>
  <c r="J44" i="5"/>
  <c r="W44" i="5"/>
  <c r="I44" i="5"/>
  <c r="H44" i="5"/>
  <c r="G44" i="5"/>
  <c r="F44" i="5"/>
  <c r="V43" i="5"/>
  <c r="T43" i="5"/>
  <c r="K46" i="5" s="1"/>
  <c r="R43" i="5"/>
  <c r="K45" i="5" s="1"/>
  <c r="U43" i="5"/>
  <c r="S43" i="5"/>
  <c r="I46" i="5" s="1"/>
  <c r="Q43" i="5"/>
  <c r="I45" i="5" s="1"/>
  <c r="E43" i="5"/>
  <c r="D43" i="5"/>
  <c r="B43" i="5"/>
  <c r="A43" i="5"/>
  <c r="AA42" i="5"/>
  <c r="Z42" i="5"/>
  <c r="I24" i="5" s="1"/>
  <c r="Y42" i="5"/>
  <c r="I41" i="5"/>
  <c r="H41" i="5"/>
  <c r="G41" i="5"/>
  <c r="E41" i="5"/>
  <c r="J40" i="5"/>
  <c r="E40" i="5"/>
  <c r="J39" i="5"/>
  <c r="E39" i="5"/>
  <c r="K38" i="5"/>
  <c r="J38" i="5"/>
  <c r="I38" i="5"/>
  <c r="H38" i="5"/>
  <c r="G38" i="5"/>
  <c r="F38" i="5"/>
  <c r="C37" i="5"/>
  <c r="V36" i="5"/>
  <c r="T36" i="5"/>
  <c r="K40" i="5" s="1"/>
  <c r="R36" i="5"/>
  <c r="K39" i="5" s="1"/>
  <c r="U36" i="5"/>
  <c r="S36" i="5"/>
  <c r="I40" i="5" s="1"/>
  <c r="Q36" i="5"/>
  <c r="I39" i="5" s="1"/>
  <c r="E36" i="5"/>
  <c r="D36" i="5"/>
  <c r="B36" i="5"/>
  <c r="A36" i="5"/>
  <c r="A35" i="5"/>
  <c r="A33" i="5"/>
  <c r="A19" i="5"/>
  <c r="A16" i="5"/>
  <c r="AK11" i="5"/>
  <c r="G6" i="5"/>
  <c r="B6" i="5"/>
  <c r="A1" i="5"/>
  <c r="O48" i="5" l="1"/>
  <c r="X54" i="5"/>
  <c r="Y109" i="5"/>
  <c r="P109" i="5"/>
  <c r="P147" i="5"/>
  <c r="O193" i="5"/>
  <c r="H195" i="5" s="1"/>
  <c r="P193" i="5"/>
  <c r="J195" i="5" s="1"/>
  <c r="J42" i="5"/>
  <c r="X48" i="5"/>
  <c r="P54" i="5"/>
  <c r="J83" i="5"/>
  <c r="H92" i="5"/>
  <c r="P119" i="5"/>
  <c r="Y129" i="5"/>
  <c r="P129" i="5"/>
  <c r="J141" i="5"/>
  <c r="P159" i="5"/>
  <c r="J165" i="5"/>
  <c r="P174" i="5"/>
  <c r="H181" i="5"/>
  <c r="O49" i="6"/>
  <c r="P49" i="6"/>
  <c r="K55" i="6"/>
  <c r="K49" i="6"/>
  <c r="X55" i="6"/>
  <c r="O166" i="6"/>
  <c r="AA166" i="6"/>
  <c r="AA154" i="6"/>
  <c r="O154" i="6"/>
  <c r="K72" i="6"/>
  <c r="Y90" i="6"/>
  <c r="O90" i="6"/>
  <c r="W82" i="6"/>
  <c r="I90" i="6"/>
  <c r="O126" i="6"/>
  <c r="I136" i="6"/>
  <c r="W128" i="6"/>
  <c r="AA148" i="6"/>
  <c r="O148" i="6"/>
  <c r="W144" i="6"/>
  <c r="K154" i="6"/>
  <c r="AA160" i="6"/>
  <c r="O160" i="6"/>
  <c r="W156" i="6"/>
  <c r="I160" i="6"/>
  <c r="AA172" i="6"/>
  <c r="O172" i="6"/>
  <c r="W168" i="6"/>
  <c r="P172" i="6"/>
  <c r="I172" i="6"/>
  <c r="K200" i="6"/>
  <c r="I49" i="6"/>
  <c r="X49" i="6"/>
  <c r="P55" i="6"/>
  <c r="I72" i="6"/>
  <c r="W64" i="6"/>
  <c r="P90" i="6"/>
  <c r="P99" i="6"/>
  <c r="I99" i="6"/>
  <c r="I116" i="6"/>
  <c r="W108" i="6"/>
  <c r="K116" i="6"/>
  <c r="K136" i="6"/>
  <c r="P148" i="6"/>
  <c r="I148" i="6"/>
  <c r="P160" i="6"/>
  <c r="K166" i="6"/>
  <c r="W45" i="6"/>
  <c r="I55" i="6"/>
  <c r="O61" i="6"/>
  <c r="I61" i="6"/>
  <c r="O72" i="6"/>
  <c r="Y72" i="6"/>
  <c r="O79" i="6"/>
  <c r="W74" i="6"/>
  <c r="P79" i="6"/>
  <c r="I79" i="6"/>
  <c r="O99" i="6"/>
  <c r="K99" i="6"/>
  <c r="O116" i="6"/>
  <c r="I138" i="6" s="1"/>
  <c r="Y116" i="6"/>
  <c r="I126" i="6"/>
  <c r="W118" i="6"/>
  <c r="K126" i="6"/>
  <c r="O136" i="6"/>
  <c r="Y136" i="6"/>
  <c r="I154" i="6"/>
  <c r="P154" i="6"/>
  <c r="I166" i="6"/>
  <c r="P166" i="6"/>
  <c r="O183" i="6"/>
  <c r="I190" i="6" s="1"/>
  <c r="Y183" i="6"/>
  <c r="K186" i="6"/>
  <c r="X186" i="6"/>
  <c r="X200" i="6"/>
  <c r="P200" i="6"/>
  <c r="K202" i="6" s="1"/>
  <c r="I200" i="6"/>
  <c r="P65" i="5"/>
  <c r="Y65" i="5"/>
  <c r="AA159" i="5"/>
  <c r="O159" i="5"/>
  <c r="O42" i="5"/>
  <c r="P42" i="5"/>
  <c r="J48" i="5"/>
  <c r="J54" i="5"/>
  <c r="J131" i="5"/>
  <c r="AA147" i="5"/>
  <c r="O147" i="5"/>
  <c r="H42" i="5"/>
  <c r="X42" i="5"/>
  <c r="P48" i="5"/>
  <c r="J65" i="5"/>
  <c r="O65" i="5"/>
  <c r="O72" i="5"/>
  <c r="W67" i="5"/>
  <c r="P72" i="5"/>
  <c r="H72" i="5"/>
  <c r="O92" i="5"/>
  <c r="O109" i="5"/>
  <c r="H119" i="5"/>
  <c r="W111" i="5"/>
  <c r="J119" i="5"/>
  <c r="O129" i="5"/>
  <c r="H147" i="5"/>
  <c r="H159" i="5"/>
  <c r="O176" i="5"/>
  <c r="H183" i="5" s="1"/>
  <c r="Y176" i="5"/>
  <c r="J179" i="5"/>
  <c r="X179" i="5"/>
  <c r="X193" i="5"/>
  <c r="W38" i="5"/>
  <c r="H48" i="5"/>
  <c r="H54" i="5"/>
  <c r="H65" i="5"/>
  <c r="X72" i="5"/>
  <c r="Y83" i="5"/>
  <c r="O83" i="5"/>
  <c r="W75" i="5"/>
  <c r="P83" i="5"/>
  <c r="H83" i="5"/>
  <c r="P92" i="5"/>
  <c r="H109" i="5"/>
  <c r="W101" i="5"/>
  <c r="J109" i="5"/>
  <c r="O119" i="5"/>
  <c r="Y119" i="5"/>
  <c r="H129" i="5"/>
  <c r="W121" i="5"/>
  <c r="J129" i="5"/>
  <c r="AA141" i="5"/>
  <c r="O141" i="5"/>
  <c r="W137" i="5"/>
  <c r="P141" i="5"/>
  <c r="H141" i="5"/>
  <c r="J147" i="5"/>
  <c r="AA153" i="5"/>
  <c r="O153" i="5"/>
  <c r="W149" i="5"/>
  <c r="P153" i="5"/>
  <c r="H153" i="5"/>
  <c r="J159" i="5"/>
  <c r="AA165" i="5"/>
  <c r="O165" i="5"/>
  <c r="W161" i="5"/>
  <c r="P165" i="5"/>
  <c r="H165" i="5"/>
  <c r="P176" i="5"/>
  <c r="J183" i="5" s="1"/>
  <c r="H179" i="5"/>
  <c r="J193" i="5"/>
  <c r="H193" i="5"/>
  <c r="A1" i="4"/>
  <c r="A2" i="4"/>
  <c r="A3" i="4"/>
  <c r="A4" i="4"/>
  <c r="A5" i="4"/>
  <c r="A6" i="4"/>
  <c r="A7" i="4"/>
  <c r="A8" i="4"/>
  <c r="A9" i="4"/>
  <c r="A10" i="4"/>
  <c r="A11" i="4"/>
  <c r="A12" i="4"/>
  <c r="A1" i="3"/>
  <c r="CY1" i="3"/>
  <c r="CZ1" i="3"/>
  <c r="DA1" i="3"/>
  <c r="DB1" i="3"/>
  <c r="DC1" i="3"/>
  <c r="A2" i="3"/>
  <c r="CY2" i="3"/>
  <c r="CZ2" i="3"/>
  <c r="DA2" i="3"/>
  <c r="DB2" i="3"/>
  <c r="DC2" i="3"/>
  <c r="A3" i="3"/>
  <c r="CX3" i="3"/>
  <c r="CY3" i="3"/>
  <c r="CZ3" i="3"/>
  <c r="DA3" i="3"/>
  <c r="DB3" i="3"/>
  <c r="DC3" i="3"/>
  <c r="A4" i="3"/>
  <c r="CY4" i="3"/>
  <c r="CZ4" i="3"/>
  <c r="DA4" i="3"/>
  <c r="DB4" i="3"/>
  <c r="DC4" i="3"/>
  <c r="A5" i="3"/>
  <c r="CY5" i="3"/>
  <c r="CZ5" i="3"/>
  <c r="DA5" i="3"/>
  <c r="DB5" i="3"/>
  <c r="DC5" i="3"/>
  <c r="A6" i="3"/>
  <c r="CY6" i="3"/>
  <c r="CZ6" i="3"/>
  <c r="DA6" i="3"/>
  <c r="DB6" i="3"/>
  <c r="DC6" i="3"/>
  <c r="A7" i="3"/>
  <c r="CX7" i="3"/>
  <c r="CY7" i="3"/>
  <c r="CZ7" i="3"/>
  <c r="DA7" i="3"/>
  <c r="DB7" i="3"/>
  <c r="DC7" i="3"/>
  <c r="A8" i="3"/>
  <c r="CY8" i="3"/>
  <c r="CZ8" i="3"/>
  <c r="DA8" i="3"/>
  <c r="DB8" i="3"/>
  <c r="DC8" i="3"/>
  <c r="A9" i="3"/>
  <c r="CY9" i="3"/>
  <c r="CZ9" i="3"/>
  <c r="DA9" i="3"/>
  <c r="DB9" i="3"/>
  <c r="DC9" i="3"/>
  <c r="A10" i="3"/>
  <c r="CX10" i="3"/>
  <c r="CY10" i="3"/>
  <c r="CZ10" i="3"/>
  <c r="DA10" i="3"/>
  <c r="DB10" i="3"/>
  <c r="DC10" i="3"/>
  <c r="A11" i="3"/>
  <c r="CY11" i="3"/>
  <c r="CZ11" i="3"/>
  <c r="DA11" i="3"/>
  <c r="DB11" i="3"/>
  <c r="DC11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D24" i="1"/>
  <c r="E26" i="1"/>
  <c r="Z26" i="1"/>
  <c r="AA26" i="1"/>
  <c r="AM26" i="1"/>
  <c r="AN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K26" i="1"/>
  <c r="FL26" i="1"/>
  <c r="FM26" i="1"/>
  <c r="FN26" i="1"/>
  <c r="FO26" i="1"/>
  <c r="FP26" i="1"/>
  <c r="FQ26" i="1"/>
  <c r="FR26" i="1"/>
  <c r="FS26" i="1"/>
  <c r="FT26" i="1"/>
  <c r="FU26" i="1"/>
  <c r="FV26" i="1"/>
  <c r="FW26" i="1"/>
  <c r="FX26" i="1"/>
  <c r="FY26" i="1"/>
  <c r="FZ26" i="1"/>
  <c r="GA26" i="1"/>
  <c r="GB26" i="1"/>
  <c r="GC26" i="1"/>
  <c r="GD26" i="1"/>
  <c r="GE26" i="1"/>
  <c r="GF26" i="1"/>
  <c r="GG26" i="1"/>
  <c r="GH26" i="1"/>
  <c r="GI26" i="1"/>
  <c r="GJ26" i="1"/>
  <c r="GK26" i="1"/>
  <c r="GL26" i="1"/>
  <c r="GM26" i="1"/>
  <c r="GN26" i="1"/>
  <c r="GO26" i="1"/>
  <c r="GP26" i="1"/>
  <c r="GQ26" i="1"/>
  <c r="GR26" i="1"/>
  <c r="GS26" i="1"/>
  <c r="GT26" i="1"/>
  <c r="GU26" i="1"/>
  <c r="GV26" i="1"/>
  <c r="GW26" i="1"/>
  <c r="GX26" i="1"/>
  <c r="C28" i="1"/>
  <c r="D28" i="1"/>
  <c r="I28" i="1"/>
  <c r="CX1" i="3" s="1"/>
  <c r="S28" i="1"/>
  <c r="CY28" i="1" s="1"/>
  <c r="X28" i="1" s="1"/>
  <c r="U28" i="1"/>
  <c r="Y28" i="1"/>
  <c r="AC28" i="1"/>
  <c r="AE28" i="1"/>
  <c r="AF28" i="1"/>
  <c r="AG28" i="1"/>
  <c r="CU28" i="1" s="1"/>
  <c r="T28" i="1" s="1"/>
  <c r="AH28" i="1"/>
  <c r="AI28" i="1"/>
  <c r="CW28" i="1" s="1"/>
  <c r="V28" i="1" s="1"/>
  <c r="AJ28" i="1"/>
  <c r="CT28" i="1"/>
  <c r="CV28" i="1"/>
  <c r="CX28" i="1"/>
  <c r="W28" i="1" s="1"/>
  <c r="CZ28" i="1"/>
  <c r="FR28" i="1"/>
  <c r="GL28" i="1"/>
  <c r="GO28" i="1"/>
  <c r="GP28" i="1"/>
  <c r="GV28" i="1"/>
  <c r="HC28" i="1" s="1"/>
  <c r="GX28" i="1" s="1"/>
  <c r="C29" i="1"/>
  <c r="D29" i="1"/>
  <c r="I29" i="1"/>
  <c r="CX2" i="3" s="1"/>
  <c r="AC29" i="1"/>
  <c r="P29" i="1" s="1"/>
  <c r="AE29" i="1"/>
  <c r="R29" i="1" s="1"/>
  <c r="AF29" i="1"/>
  <c r="S29" i="1" s="1"/>
  <c r="AG29" i="1"/>
  <c r="CU29" i="1" s="1"/>
  <c r="T29" i="1" s="1"/>
  <c r="AH29" i="1"/>
  <c r="AI29" i="1"/>
  <c r="CW29" i="1" s="1"/>
  <c r="V29" i="1" s="1"/>
  <c r="AJ29" i="1"/>
  <c r="CR29" i="1"/>
  <c r="CT29" i="1"/>
  <c r="CV29" i="1"/>
  <c r="U29" i="1" s="1"/>
  <c r="CX29" i="1"/>
  <c r="W29" i="1" s="1"/>
  <c r="FR29" i="1"/>
  <c r="GK29" i="1"/>
  <c r="GL29" i="1"/>
  <c r="GO29" i="1"/>
  <c r="GP29" i="1"/>
  <c r="GV29" i="1"/>
  <c r="HC29" i="1"/>
  <c r="GX29" i="1" s="1"/>
  <c r="C30" i="1"/>
  <c r="D30" i="1"/>
  <c r="I30" i="1"/>
  <c r="S30" i="1"/>
  <c r="CY30" i="1" s="1"/>
  <c r="X30" i="1" s="1"/>
  <c r="AC30" i="1"/>
  <c r="P30" i="1" s="1"/>
  <c r="AE30" i="1"/>
  <c r="R30" i="1" s="1"/>
  <c r="GK30" i="1" s="1"/>
  <c r="AF30" i="1"/>
  <c r="AG30" i="1"/>
  <c r="CU30" i="1" s="1"/>
  <c r="T30" i="1" s="1"/>
  <c r="AH30" i="1"/>
  <c r="AI30" i="1"/>
  <c r="CW30" i="1" s="1"/>
  <c r="V30" i="1" s="1"/>
  <c r="AJ30" i="1"/>
  <c r="CR30" i="1"/>
  <c r="CT30" i="1"/>
  <c r="CV30" i="1"/>
  <c r="U30" i="1" s="1"/>
  <c r="CX30" i="1"/>
  <c r="W30" i="1" s="1"/>
  <c r="CZ30" i="1"/>
  <c r="Y30" i="1" s="1"/>
  <c r="FR30" i="1"/>
  <c r="GL30" i="1"/>
  <c r="GO30" i="1"/>
  <c r="GP30" i="1"/>
  <c r="GV30" i="1"/>
  <c r="HC30" i="1"/>
  <c r="GX30" i="1" s="1"/>
  <c r="I31" i="1"/>
  <c r="S31" i="1"/>
  <c r="CY31" i="1" s="1"/>
  <c r="X31" i="1" s="1"/>
  <c r="AC31" i="1"/>
  <c r="P31" i="1" s="1"/>
  <c r="AE31" i="1"/>
  <c r="R31" i="1" s="1"/>
  <c r="GK31" i="1" s="1"/>
  <c r="AF31" i="1"/>
  <c r="AG31" i="1"/>
  <c r="CU31" i="1" s="1"/>
  <c r="T31" i="1" s="1"/>
  <c r="AH31" i="1"/>
  <c r="AI31" i="1"/>
  <c r="CW31" i="1" s="1"/>
  <c r="V31" i="1" s="1"/>
  <c r="AJ31" i="1"/>
  <c r="CR31" i="1"/>
  <c r="CT31" i="1"/>
  <c r="CV31" i="1"/>
  <c r="U31" i="1" s="1"/>
  <c r="CX31" i="1"/>
  <c r="W31" i="1" s="1"/>
  <c r="CZ31" i="1"/>
  <c r="Y31" i="1" s="1"/>
  <c r="FR31" i="1"/>
  <c r="GL31" i="1"/>
  <c r="GN31" i="1"/>
  <c r="GP31" i="1"/>
  <c r="GV31" i="1"/>
  <c r="HC31" i="1"/>
  <c r="GX31" i="1" s="1"/>
  <c r="C32" i="1"/>
  <c r="D32" i="1"/>
  <c r="I32" i="1"/>
  <c r="CX4" i="3" s="1"/>
  <c r="S32" i="1"/>
  <c r="CY32" i="1" s="1"/>
  <c r="X32" i="1" s="1"/>
  <c r="AC32" i="1"/>
  <c r="P32" i="1" s="1"/>
  <c r="AE32" i="1"/>
  <c r="R32" i="1" s="1"/>
  <c r="GK32" i="1" s="1"/>
  <c r="AF32" i="1"/>
  <c r="AG32" i="1"/>
  <c r="CU32" i="1" s="1"/>
  <c r="T32" i="1" s="1"/>
  <c r="AH32" i="1"/>
  <c r="AI32" i="1"/>
  <c r="CW32" i="1" s="1"/>
  <c r="V32" i="1" s="1"/>
  <c r="AJ32" i="1"/>
  <c r="CR32" i="1"/>
  <c r="CT32" i="1"/>
  <c r="CV32" i="1"/>
  <c r="U32" i="1" s="1"/>
  <c r="CX32" i="1"/>
  <c r="W32" i="1" s="1"/>
  <c r="CZ32" i="1"/>
  <c r="Y32" i="1" s="1"/>
  <c r="FR32" i="1"/>
  <c r="GL32" i="1"/>
  <c r="GO32" i="1"/>
  <c r="GP32" i="1"/>
  <c r="GV32" i="1"/>
  <c r="HC32" i="1"/>
  <c r="GX32" i="1" s="1"/>
  <c r="C33" i="1"/>
  <c r="D33" i="1"/>
  <c r="I33" i="1"/>
  <c r="CX6" i="3" s="1"/>
  <c r="S33" i="1"/>
  <c r="CY33" i="1" s="1"/>
  <c r="X33" i="1" s="1"/>
  <c r="AC33" i="1"/>
  <c r="P33" i="1" s="1"/>
  <c r="AE33" i="1"/>
  <c r="R33" i="1" s="1"/>
  <c r="GK33" i="1" s="1"/>
  <c r="AF33" i="1"/>
  <c r="AG33" i="1"/>
  <c r="CU33" i="1" s="1"/>
  <c r="T33" i="1" s="1"/>
  <c r="AH33" i="1"/>
  <c r="AI33" i="1"/>
  <c r="CW33" i="1" s="1"/>
  <c r="V33" i="1" s="1"/>
  <c r="AJ33" i="1"/>
  <c r="CR33" i="1"/>
  <c r="CT33" i="1"/>
  <c r="CV33" i="1"/>
  <c r="U33" i="1" s="1"/>
  <c r="CX33" i="1"/>
  <c r="W33" i="1" s="1"/>
  <c r="CZ33" i="1"/>
  <c r="Y33" i="1" s="1"/>
  <c r="FR33" i="1"/>
  <c r="GL33" i="1"/>
  <c r="GN33" i="1"/>
  <c r="GP33" i="1"/>
  <c r="GV33" i="1"/>
  <c r="HC33" i="1"/>
  <c r="GX33" i="1" s="1"/>
  <c r="I34" i="1"/>
  <c r="S34" i="1"/>
  <c r="CY34" i="1" s="1"/>
  <c r="X34" i="1" s="1"/>
  <c r="AC34" i="1"/>
  <c r="P34" i="1" s="1"/>
  <c r="AE34" i="1"/>
  <c r="R34" i="1" s="1"/>
  <c r="GK34" i="1" s="1"/>
  <c r="AF34" i="1"/>
  <c r="AG34" i="1"/>
  <c r="CU34" i="1" s="1"/>
  <c r="T34" i="1" s="1"/>
  <c r="AH34" i="1"/>
  <c r="AI34" i="1"/>
  <c r="CW34" i="1" s="1"/>
  <c r="V34" i="1" s="1"/>
  <c r="AJ34" i="1"/>
  <c r="CR34" i="1"/>
  <c r="CT34" i="1"/>
  <c r="CV34" i="1"/>
  <c r="U34" i="1" s="1"/>
  <c r="CX34" i="1"/>
  <c r="W34" i="1" s="1"/>
  <c r="CZ34" i="1"/>
  <c r="Y34" i="1" s="1"/>
  <c r="FR34" i="1"/>
  <c r="GL34" i="1"/>
  <c r="GN34" i="1"/>
  <c r="GP34" i="1"/>
  <c r="GV34" i="1"/>
  <c r="HC34" i="1"/>
  <c r="GX34" i="1" s="1"/>
  <c r="C35" i="1"/>
  <c r="D35" i="1"/>
  <c r="I35" i="1"/>
  <c r="CX8" i="3" s="1"/>
  <c r="S35" i="1"/>
  <c r="CY35" i="1" s="1"/>
  <c r="X35" i="1" s="1"/>
  <c r="Y35" i="1"/>
  <c r="AC35" i="1"/>
  <c r="AE35" i="1"/>
  <c r="AF35" i="1"/>
  <c r="AG35" i="1"/>
  <c r="CU35" i="1" s="1"/>
  <c r="T35" i="1" s="1"/>
  <c r="AH35" i="1"/>
  <c r="AI35" i="1"/>
  <c r="CW35" i="1" s="1"/>
  <c r="V35" i="1" s="1"/>
  <c r="AJ35" i="1"/>
  <c r="CT35" i="1"/>
  <c r="CV35" i="1"/>
  <c r="U35" i="1" s="1"/>
  <c r="CX35" i="1"/>
  <c r="W35" i="1" s="1"/>
  <c r="CZ35" i="1"/>
  <c r="FR35" i="1"/>
  <c r="GL35" i="1"/>
  <c r="GO35" i="1"/>
  <c r="GP35" i="1"/>
  <c r="GV35" i="1"/>
  <c r="HC35" i="1" s="1"/>
  <c r="GX35" i="1" s="1"/>
  <c r="CJ37" i="1" s="1"/>
  <c r="B37" i="1"/>
  <c r="B26" i="1" s="1"/>
  <c r="C37" i="1"/>
  <c r="C26" i="1" s="1"/>
  <c r="D37" i="1"/>
  <c r="D26" i="1" s="1"/>
  <c r="F37" i="1"/>
  <c r="F26" i="1" s="1"/>
  <c r="G37" i="1"/>
  <c r="G26" i="1" s="1"/>
  <c r="AF37" i="1"/>
  <c r="AG37" i="1"/>
  <c r="AG26" i="1" s="1"/>
  <c r="AH37" i="1"/>
  <c r="AI37" i="1"/>
  <c r="AI26" i="1" s="1"/>
  <c r="AJ37" i="1"/>
  <c r="AP37" i="1"/>
  <c r="AX37" i="1"/>
  <c r="AX26" i="1" s="1"/>
  <c r="BB37" i="1"/>
  <c r="BX37" i="1"/>
  <c r="BX26" i="1" s="1"/>
  <c r="BY37" i="1"/>
  <c r="BY26" i="1" s="1"/>
  <c r="BZ37" i="1"/>
  <c r="BZ26" i="1" s="1"/>
  <c r="CD37" i="1"/>
  <c r="CD26" i="1" s="1"/>
  <c r="CG37" i="1"/>
  <c r="CG26" i="1" s="1"/>
  <c r="CI37" i="1"/>
  <c r="CK37" i="1"/>
  <c r="CK26" i="1" s="1"/>
  <c r="CL37" i="1"/>
  <c r="CL26" i="1" s="1"/>
  <c r="CM37" i="1"/>
  <c r="CM26" i="1" s="1"/>
  <c r="F44" i="1"/>
  <c r="D67" i="1"/>
  <c r="C69" i="1"/>
  <c r="E69" i="1"/>
  <c r="G69" i="1"/>
  <c r="Z69" i="1"/>
  <c r="AA69" i="1"/>
  <c r="AM69" i="1"/>
  <c r="AN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Z69" i="1"/>
  <c r="CD69" i="1"/>
  <c r="CL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DB69" i="1"/>
  <c r="DC69" i="1"/>
  <c r="DD69" i="1"/>
  <c r="DE69" i="1"/>
  <c r="DF69" i="1"/>
  <c r="DG69" i="1"/>
  <c r="DH69" i="1"/>
  <c r="DI69" i="1"/>
  <c r="DJ69" i="1"/>
  <c r="DK69" i="1"/>
  <c r="DL69" i="1"/>
  <c r="DM69" i="1"/>
  <c r="DN69" i="1"/>
  <c r="DO69" i="1"/>
  <c r="DP69" i="1"/>
  <c r="DQ69" i="1"/>
  <c r="DR69" i="1"/>
  <c r="DS69" i="1"/>
  <c r="DT69" i="1"/>
  <c r="DU69" i="1"/>
  <c r="DV69" i="1"/>
  <c r="DW69" i="1"/>
  <c r="DX69" i="1"/>
  <c r="DY69" i="1"/>
  <c r="DZ69" i="1"/>
  <c r="EA69" i="1"/>
  <c r="EB69" i="1"/>
  <c r="EC69" i="1"/>
  <c r="ED69" i="1"/>
  <c r="EE69" i="1"/>
  <c r="EF69" i="1"/>
  <c r="EG69" i="1"/>
  <c r="EH69" i="1"/>
  <c r="EI69" i="1"/>
  <c r="EJ69" i="1"/>
  <c r="EK69" i="1"/>
  <c r="EL69" i="1"/>
  <c r="EM69" i="1"/>
  <c r="EN69" i="1"/>
  <c r="EO69" i="1"/>
  <c r="EP69" i="1"/>
  <c r="EQ69" i="1"/>
  <c r="ER69" i="1"/>
  <c r="ES69" i="1"/>
  <c r="ET69" i="1"/>
  <c r="EU69" i="1"/>
  <c r="EV69" i="1"/>
  <c r="EW69" i="1"/>
  <c r="EX69" i="1"/>
  <c r="EY69" i="1"/>
  <c r="EZ69" i="1"/>
  <c r="FA69" i="1"/>
  <c r="FB69" i="1"/>
  <c r="FC69" i="1"/>
  <c r="FD69" i="1"/>
  <c r="FE69" i="1"/>
  <c r="FF69" i="1"/>
  <c r="FG69" i="1"/>
  <c r="FH69" i="1"/>
  <c r="FI69" i="1"/>
  <c r="FJ69" i="1"/>
  <c r="FK69" i="1"/>
  <c r="FL69" i="1"/>
  <c r="FM69" i="1"/>
  <c r="FN69" i="1"/>
  <c r="FO69" i="1"/>
  <c r="FP69" i="1"/>
  <c r="FQ69" i="1"/>
  <c r="FR69" i="1"/>
  <c r="FS69" i="1"/>
  <c r="FT69" i="1"/>
  <c r="FU69" i="1"/>
  <c r="FV69" i="1"/>
  <c r="FW69" i="1"/>
  <c r="FX69" i="1"/>
  <c r="FY69" i="1"/>
  <c r="FZ69" i="1"/>
  <c r="GA69" i="1"/>
  <c r="GB69" i="1"/>
  <c r="GC69" i="1"/>
  <c r="GD69" i="1"/>
  <c r="GE69" i="1"/>
  <c r="GF69" i="1"/>
  <c r="GG69" i="1"/>
  <c r="GH69" i="1"/>
  <c r="GI69" i="1"/>
  <c r="GJ69" i="1"/>
  <c r="GK69" i="1"/>
  <c r="GL69" i="1"/>
  <c r="GM69" i="1"/>
  <c r="GN69" i="1"/>
  <c r="GO69" i="1"/>
  <c r="GP69" i="1"/>
  <c r="GQ69" i="1"/>
  <c r="GR69" i="1"/>
  <c r="GS69" i="1"/>
  <c r="GT69" i="1"/>
  <c r="GU69" i="1"/>
  <c r="GV69" i="1"/>
  <c r="GW69" i="1"/>
  <c r="GX69" i="1"/>
  <c r="I71" i="1"/>
  <c r="S71" i="1"/>
  <c r="CY71" i="1" s="1"/>
  <c r="X71" i="1" s="1"/>
  <c r="U71" i="1"/>
  <c r="Y71" i="1"/>
  <c r="AC71" i="1"/>
  <c r="AE71" i="1"/>
  <c r="AF71" i="1"/>
  <c r="AG71" i="1"/>
  <c r="CU71" i="1" s="1"/>
  <c r="T71" i="1" s="1"/>
  <c r="AG75" i="1" s="1"/>
  <c r="AG69" i="1" s="1"/>
  <c r="AH71" i="1"/>
  <c r="AI71" i="1"/>
  <c r="CW71" i="1" s="1"/>
  <c r="V71" i="1" s="1"/>
  <c r="AI75" i="1" s="1"/>
  <c r="AJ71" i="1"/>
  <c r="CT71" i="1"/>
  <c r="CV71" i="1"/>
  <c r="CX71" i="1"/>
  <c r="W71" i="1" s="1"/>
  <c r="CZ71" i="1"/>
  <c r="FR71" i="1"/>
  <c r="GL71" i="1"/>
  <c r="GN71" i="1"/>
  <c r="GP71" i="1"/>
  <c r="GV71" i="1"/>
  <c r="HC71" i="1"/>
  <c r="GX71" i="1" s="1"/>
  <c r="I72" i="1"/>
  <c r="S72" i="1"/>
  <c r="W72" i="1"/>
  <c r="AC72" i="1"/>
  <c r="AE72" i="1"/>
  <c r="AF72" i="1"/>
  <c r="AG72" i="1"/>
  <c r="CU72" i="1" s="1"/>
  <c r="T72" i="1" s="1"/>
  <c r="AH72" i="1"/>
  <c r="AI72" i="1"/>
  <c r="CW72" i="1" s="1"/>
  <c r="V72" i="1" s="1"/>
  <c r="AJ72" i="1"/>
  <c r="CR72" i="1"/>
  <c r="CT72" i="1"/>
  <c r="CV72" i="1"/>
  <c r="U72" i="1" s="1"/>
  <c r="CX72" i="1"/>
  <c r="CZ72" i="1"/>
  <c r="Y72" i="1" s="1"/>
  <c r="FR72" i="1"/>
  <c r="GL72" i="1"/>
  <c r="GN72" i="1"/>
  <c r="GP72" i="1"/>
  <c r="GV72" i="1"/>
  <c r="HC72" i="1" s="1"/>
  <c r="GX72" i="1" s="1"/>
  <c r="C73" i="1"/>
  <c r="D73" i="1"/>
  <c r="P73" i="1"/>
  <c r="R73" i="1"/>
  <c r="GK73" i="1" s="1"/>
  <c r="T73" i="1"/>
  <c r="AC73" i="1"/>
  <c r="AD73" i="1"/>
  <c r="AB73" i="1" s="1"/>
  <c r="AE73" i="1"/>
  <c r="Q73" i="1" s="1"/>
  <c r="AF73" i="1"/>
  <c r="AG73" i="1"/>
  <c r="AH73" i="1"/>
  <c r="CV73" i="1" s="1"/>
  <c r="U73" i="1" s="1"/>
  <c r="AI73" i="1"/>
  <c r="AJ73" i="1"/>
  <c r="CX73" i="1" s="1"/>
  <c r="W73" i="1" s="1"/>
  <c r="CQ73" i="1"/>
  <c r="CR73" i="1"/>
  <c r="CS73" i="1"/>
  <c r="CU73" i="1"/>
  <c r="CW73" i="1"/>
  <c r="V73" i="1" s="1"/>
  <c r="FR73" i="1"/>
  <c r="BY75" i="1" s="1"/>
  <c r="GL73" i="1"/>
  <c r="BZ75" i="1" s="1"/>
  <c r="AQ75" i="1" s="1"/>
  <c r="GN73" i="1"/>
  <c r="CB75" i="1" s="1"/>
  <c r="GP73" i="1"/>
  <c r="CD75" i="1" s="1"/>
  <c r="AU75" i="1" s="1"/>
  <c r="AU69" i="1" s="1"/>
  <c r="GV73" i="1"/>
  <c r="GX73" i="1"/>
  <c r="HC73" i="1"/>
  <c r="B75" i="1"/>
  <c r="B69" i="1" s="1"/>
  <c r="C75" i="1"/>
  <c r="D75" i="1"/>
  <c r="D69" i="1" s="1"/>
  <c r="F75" i="1"/>
  <c r="F69" i="1" s="1"/>
  <c r="G75" i="1"/>
  <c r="AH75" i="1"/>
  <c r="BX75" i="1"/>
  <c r="AO75" i="1" s="1"/>
  <c r="CG75" i="1"/>
  <c r="CK75" i="1"/>
  <c r="CL75" i="1"/>
  <c r="BC75" i="1" s="1"/>
  <c r="CM75" i="1"/>
  <c r="CM69" i="1" s="1"/>
  <c r="F94" i="1"/>
  <c r="D105" i="1"/>
  <c r="E107" i="1"/>
  <c r="Z107" i="1"/>
  <c r="AA107" i="1"/>
  <c r="AM107" i="1"/>
  <c r="AN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CL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DB107" i="1"/>
  <c r="DC107" i="1"/>
  <c r="DD107" i="1"/>
  <c r="DE107" i="1"/>
  <c r="DF107" i="1"/>
  <c r="DG107" i="1"/>
  <c r="DH107" i="1"/>
  <c r="DI107" i="1"/>
  <c r="DJ107" i="1"/>
  <c r="DK107" i="1"/>
  <c r="DL107" i="1"/>
  <c r="DM107" i="1"/>
  <c r="DN107" i="1"/>
  <c r="DO107" i="1"/>
  <c r="DP107" i="1"/>
  <c r="DQ107" i="1"/>
  <c r="DR107" i="1"/>
  <c r="DS107" i="1"/>
  <c r="DT107" i="1"/>
  <c r="DU107" i="1"/>
  <c r="DV107" i="1"/>
  <c r="DW107" i="1"/>
  <c r="DX107" i="1"/>
  <c r="DY107" i="1"/>
  <c r="DZ107" i="1"/>
  <c r="EA107" i="1"/>
  <c r="EB107" i="1"/>
  <c r="EC107" i="1"/>
  <c r="ED107" i="1"/>
  <c r="EE107" i="1"/>
  <c r="EF107" i="1"/>
  <c r="EG107" i="1"/>
  <c r="EH107" i="1"/>
  <c r="EI107" i="1"/>
  <c r="EJ107" i="1"/>
  <c r="EK107" i="1"/>
  <c r="EL107" i="1"/>
  <c r="EM107" i="1"/>
  <c r="EN107" i="1"/>
  <c r="EO107" i="1"/>
  <c r="EP107" i="1"/>
  <c r="EQ107" i="1"/>
  <c r="ER107" i="1"/>
  <c r="ES107" i="1"/>
  <c r="ET107" i="1"/>
  <c r="EU107" i="1"/>
  <c r="EV107" i="1"/>
  <c r="EW107" i="1"/>
  <c r="EX107" i="1"/>
  <c r="EY107" i="1"/>
  <c r="EZ107" i="1"/>
  <c r="FA107" i="1"/>
  <c r="FB107" i="1"/>
  <c r="FC107" i="1"/>
  <c r="FD107" i="1"/>
  <c r="FE107" i="1"/>
  <c r="FF107" i="1"/>
  <c r="FG107" i="1"/>
  <c r="FH107" i="1"/>
  <c r="FI107" i="1"/>
  <c r="FJ107" i="1"/>
  <c r="FK107" i="1"/>
  <c r="FL107" i="1"/>
  <c r="FM107" i="1"/>
  <c r="FN107" i="1"/>
  <c r="FO107" i="1"/>
  <c r="FP107" i="1"/>
  <c r="FQ107" i="1"/>
  <c r="FR107" i="1"/>
  <c r="FS107" i="1"/>
  <c r="FT107" i="1"/>
  <c r="FU107" i="1"/>
  <c r="FV107" i="1"/>
  <c r="FW107" i="1"/>
  <c r="FX107" i="1"/>
  <c r="FY107" i="1"/>
  <c r="FZ107" i="1"/>
  <c r="GA107" i="1"/>
  <c r="GB107" i="1"/>
  <c r="GC107" i="1"/>
  <c r="GD107" i="1"/>
  <c r="GE107" i="1"/>
  <c r="GF107" i="1"/>
  <c r="GG107" i="1"/>
  <c r="GH107" i="1"/>
  <c r="GI107" i="1"/>
  <c r="GJ107" i="1"/>
  <c r="GK107" i="1"/>
  <c r="GL107" i="1"/>
  <c r="GM107" i="1"/>
  <c r="GN107" i="1"/>
  <c r="GO107" i="1"/>
  <c r="GP107" i="1"/>
  <c r="GQ107" i="1"/>
  <c r="GR107" i="1"/>
  <c r="GS107" i="1"/>
  <c r="GT107" i="1"/>
  <c r="GU107" i="1"/>
  <c r="GV107" i="1"/>
  <c r="GW107" i="1"/>
  <c r="GX107" i="1"/>
  <c r="P109" i="1"/>
  <c r="R109" i="1"/>
  <c r="V109" i="1"/>
  <c r="AC109" i="1"/>
  <c r="AD109" i="1"/>
  <c r="AB109" i="1" s="1"/>
  <c r="AE109" i="1"/>
  <c r="Q109" i="1" s="1"/>
  <c r="AF109" i="1"/>
  <c r="AG109" i="1"/>
  <c r="AH109" i="1"/>
  <c r="CV109" i="1" s="1"/>
  <c r="U109" i="1" s="1"/>
  <c r="AI109" i="1"/>
  <c r="AJ109" i="1"/>
  <c r="CX109" i="1" s="1"/>
  <c r="W109" i="1" s="1"/>
  <c r="CQ109" i="1"/>
  <c r="CR109" i="1"/>
  <c r="CS109" i="1"/>
  <c r="CU109" i="1"/>
  <c r="T109" i="1" s="1"/>
  <c r="CW109" i="1"/>
  <c r="FR109" i="1"/>
  <c r="GL109" i="1"/>
  <c r="GN109" i="1"/>
  <c r="GO109" i="1"/>
  <c r="GV109" i="1"/>
  <c r="GX109" i="1"/>
  <c r="HC109" i="1"/>
  <c r="S110" i="1"/>
  <c r="CY110" i="1" s="1"/>
  <c r="X110" i="1" s="1"/>
  <c r="U110" i="1"/>
  <c r="Y110" i="1"/>
  <c r="AC110" i="1"/>
  <c r="AE110" i="1"/>
  <c r="AF110" i="1"/>
  <c r="AG110" i="1"/>
  <c r="CU110" i="1" s="1"/>
  <c r="T110" i="1" s="1"/>
  <c r="AH110" i="1"/>
  <c r="AI110" i="1"/>
  <c r="CW110" i="1" s="1"/>
  <c r="V110" i="1" s="1"/>
  <c r="AJ110" i="1"/>
  <c r="CT110" i="1"/>
  <c r="CV110" i="1"/>
  <c r="CX110" i="1"/>
  <c r="W110" i="1" s="1"/>
  <c r="CZ110" i="1"/>
  <c r="FR110" i="1"/>
  <c r="GL110" i="1"/>
  <c r="GN110" i="1"/>
  <c r="GO110" i="1"/>
  <c r="GV110" i="1"/>
  <c r="HC110" i="1" s="1"/>
  <c r="GX110" i="1" s="1"/>
  <c r="P111" i="1"/>
  <c r="R111" i="1"/>
  <c r="GK111" i="1" s="1"/>
  <c r="T111" i="1"/>
  <c r="AC111" i="1"/>
  <c r="AD111" i="1"/>
  <c r="AB111" i="1" s="1"/>
  <c r="AE111" i="1"/>
  <c r="Q111" i="1" s="1"/>
  <c r="AF111" i="1"/>
  <c r="AG111" i="1"/>
  <c r="AH111" i="1"/>
  <c r="CV111" i="1" s="1"/>
  <c r="U111" i="1" s="1"/>
  <c r="AI111" i="1"/>
  <c r="AJ111" i="1"/>
  <c r="CX111" i="1" s="1"/>
  <c r="W111" i="1" s="1"/>
  <c r="CQ111" i="1"/>
  <c r="CR111" i="1"/>
  <c r="CS111" i="1"/>
  <c r="CU111" i="1"/>
  <c r="CW111" i="1"/>
  <c r="V111" i="1" s="1"/>
  <c r="FR111" i="1"/>
  <c r="GL111" i="1"/>
  <c r="GN111" i="1"/>
  <c r="GO111" i="1"/>
  <c r="GV111" i="1"/>
  <c r="GX111" i="1"/>
  <c r="HC111" i="1"/>
  <c r="S112" i="1"/>
  <c r="CY112" i="1" s="1"/>
  <c r="X112" i="1" s="1"/>
  <c r="W112" i="1"/>
  <c r="AC112" i="1"/>
  <c r="AE112" i="1"/>
  <c r="AF112" i="1"/>
  <c r="AG112" i="1"/>
  <c r="CU112" i="1" s="1"/>
  <c r="T112" i="1" s="1"/>
  <c r="AH112" i="1"/>
  <c r="AI112" i="1"/>
  <c r="CW112" i="1" s="1"/>
  <c r="V112" i="1" s="1"/>
  <c r="AJ112" i="1"/>
  <c r="CR112" i="1"/>
  <c r="CT112" i="1"/>
  <c r="CV112" i="1"/>
  <c r="U112" i="1" s="1"/>
  <c r="AH115" i="1" s="1"/>
  <c r="CX112" i="1"/>
  <c r="CZ112" i="1"/>
  <c r="Y112" i="1" s="1"/>
  <c r="FR112" i="1"/>
  <c r="GL112" i="1"/>
  <c r="GN112" i="1"/>
  <c r="GO112" i="1"/>
  <c r="GV112" i="1"/>
  <c r="HC112" i="1"/>
  <c r="GX112" i="1" s="1"/>
  <c r="P113" i="1"/>
  <c r="R113" i="1"/>
  <c r="GK113" i="1" s="1"/>
  <c r="V113" i="1"/>
  <c r="AC113" i="1"/>
  <c r="AD113" i="1"/>
  <c r="AB113" i="1" s="1"/>
  <c r="AE113" i="1"/>
  <c r="Q113" i="1" s="1"/>
  <c r="AF113" i="1"/>
  <c r="AG113" i="1"/>
  <c r="AH113" i="1"/>
  <c r="CV113" i="1" s="1"/>
  <c r="U113" i="1" s="1"/>
  <c r="AI113" i="1"/>
  <c r="AJ113" i="1"/>
  <c r="CX113" i="1" s="1"/>
  <c r="W113" i="1" s="1"/>
  <c r="CQ113" i="1"/>
  <c r="CR113" i="1"/>
  <c r="CS113" i="1"/>
  <c r="CU113" i="1"/>
  <c r="T113" i="1" s="1"/>
  <c r="CW113" i="1"/>
  <c r="FR113" i="1"/>
  <c r="GL113" i="1"/>
  <c r="GN113" i="1"/>
  <c r="GO113" i="1"/>
  <c r="GV113" i="1"/>
  <c r="GX113" i="1"/>
  <c r="HC113" i="1"/>
  <c r="B115" i="1"/>
  <c r="B107" i="1" s="1"/>
  <c r="C115" i="1"/>
  <c r="C107" i="1" s="1"/>
  <c r="D115" i="1"/>
  <c r="D107" i="1" s="1"/>
  <c r="F115" i="1"/>
  <c r="F107" i="1" s="1"/>
  <c r="G115" i="1"/>
  <c r="G107" i="1" s="1"/>
  <c r="BX115" i="1"/>
  <c r="AO115" i="1" s="1"/>
  <c r="BY115" i="1"/>
  <c r="BY107" i="1" s="1"/>
  <c r="CC115" i="1"/>
  <c r="CC107" i="1" s="1"/>
  <c r="CK115" i="1"/>
  <c r="CK107" i="1" s="1"/>
  <c r="CL115" i="1"/>
  <c r="BC115" i="1" s="1"/>
  <c r="CM115" i="1"/>
  <c r="CM107" i="1" s="1"/>
  <c r="D145" i="1"/>
  <c r="C147" i="1"/>
  <c r="E147" i="1"/>
  <c r="Z147" i="1"/>
  <c r="AA147" i="1"/>
  <c r="AM147" i="1"/>
  <c r="AN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CL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DB147" i="1"/>
  <c r="DC147" i="1"/>
  <c r="DD147" i="1"/>
  <c r="DE147" i="1"/>
  <c r="DF147" i="1"/>
  <c r="DG147" i="1"/>
  <c r="DH147" i="1"/>
  <c r="DI147" i="1"/>
  <c r="DJ147" i="1"/>
  <c r="DK147" i="1"/>
  <c r="DL147" i="1"/>
  <c r="DM147" i="1"/>
  <c r="DN147" i="1"/>
  <c r="DO147" i="1"/>
  <c r="DP147" i="1"/>
  <c r="DQ147" i="1"/>
  <c r="DR147" i="1"/>
  <c r="DS147" i="1"/>
  <c r="DT147" i="1"/>
  <c r="DU147" i="1"/>
  <c r="DV147" i="1"/>
  <c r="DW147" i="1"/>
  <c r="DX147" i="1"/>
  <c r="DY147" i="1"/>
  <c r="DZ147" i="1"/>
  <c r="EA147" i="1"/>
  <c r="EB147" i="1"/>
  <c r="EC147" i="1"/>
  <c r="ED147" i="1"/>
  <c r="EE147" i="1"/>
  <c r="EF147" i="1"/>
  <c r="EG147" i="1"/>
  <c r="EH147" i="1"/>
  <c r="EI147" i="1"/>
  <c r="EJ147" i="1"/>
  <c r="EK147" i="1"/>
  <c r="EL147" i="1"/>
  <c r="EM147" i="1"/>
  <c r="EN147" i="1"/>
  <c r="EO147" i="1"/>
  <c r="EP147" i="1"/>
  <c r="EQ147" i="1"/>
  <c r="ER147" i="1"/>
  <c r="ES147" i="1"/>
  <c r="ET147" i="1"/>
  <c r="EU147" i="1"/>
  <c r="EV147" i="1"/>
  <c r="EW147" i="1"/>
  <c r="EX147" i="1"/>
  <c r="EY147" i="1"/>
  <c r="EZ147" i="1"/>
  <c r="FA147" i="1"/>
  <c r="FB147" i="1"/>
  <c r="FC147" i="1"/>
  <c r="FD147" i="1"/>
  <c r="FE147" i="1"/>
  <c r="FF147" i="1"/>
  <c r="FG147" i="1"/>
  <c r="FH147" i="1"/>
  <c r="FI147" i="1"/>
  <c r="FJ147" i="1"/>
  <c r="FK147" i="1"/>
  <c r="FL147" i="1"/>
  <c r="FM147" i="1"/>
  <c r="FN147" i="1"/>
  <c r="FO147" i="1"/>
  <c r="FP147" i="1"/>
  <c r="FQ147" i="1"/>
  <c r="FR147" i="1"/>
  <c r="FS147" i="1"/>
  <c r="FT147" i="1"/>
  <c r="FU147" i="1"/>
  <c r="FV147" i="1"/>
  <c r="FW147" i="1"/>
  <c r="FX147" i="1"/>
  <c r="FY147" i="1"/>
  <c r="FZ147" i="1"/>
  <c r="GA147" i="1"/>
  <c r="GB147" i="1"/>
  <c r="GC147" i="1"/>
  <c r="GD147" i="1"/>
  <c r="GE147" i="1"/>
  <c r="GF147" i="1"/>
  <c r="GG147" i="1"/>
  <c r="GH147" i="1"/>
  <c r="GI147" i="1"/>
  <c r="GJ147" i="1"/>
  <c r="GK147" i="1"/>
  <c r="GL147" i="1"/>
  <c r="GM147" i="1"/>
  <c r="GN147" i="1"/>
  <c r="GO147" i="1"/>
  <c r="GP147" i="1"/>
  <c r="GQ147" i="1"/>
  <c r="GR147" i="1"/>
  <c r="GS147" i="1"/>
  <c r="GT147" i="1"/>
  <c r="GU147" i="1"/>
  <c r="GV147" i="1"/>
  <c r="GW147" i="1"/>
  <c r="GX147" i="1"/>
  <c r="I149" i="1"/>
  <c r="S149" i="1"/>
  <c r="CY149" i="1" s="1"/>
  <c r="X149" i="1" s="1"/>
  <c r="W149" i="1"/>
  <c r="AJ154" i="1" s="1"/>
  <c r="AC149" i="1"/>
  <c r="AE149" i="1"/>
  <c r="AF149" i="1"/>
  <c r="AG149" i="1"/>
  <c r="CU149" i="1" s="1"/>
  <c r="T149" i="1" s="1"/>
  <c r="AH149" i="1"/>
  <c r="AI149" i="1"/>
  <c r="CW149" i="1" s="1"/>
  <c r="V149" i="1" s="1"/>
  <c r="AJ149" i="1"/>
  <c r="CR149" i="1"/>
  <c r="CT149" i="1"/>
  <c r="CV149" i="1"/>
  <c r="U149" i="1" s="1"/>
  <c r="AH154" i="1" s="1"/>
  <c r="CX149" i="1"/>
  <c r="CZ149" i="1"/>
  <c r="Y149" i="1" s="1"/>
  <c r="FR149" i="1"/>
  <c r="GL149" i="1"/>
  <c r="GN149" i="1"/>
  <c r="GP149" i="1"/>
  <c r="GV149" i="1"/>
  <c r="HC149" i="1" s="1"/>
  <c r="GX149" i="1" s="1"/>
  <c r="P150" i="1"/>
  <c r="R150" i="1"/>
  <c r="GK150" i="1" s="1"/>
  <c r="T150" i="1"/>
  <c r="AC150" i="1"/>
  <c r="AD150" i="1"/>
  <c r="AB150" i="1" s="1"/>
  <c r="AE150" i="1"/>
  <c r="Q150" i="1" s="1"/>
  <c r="AF150" i="1"/>
  <c r="AG150" i="1"/>
  <c r="AH150" i="1"/>
  <c r="CV150" i="1" s="1"/>
  <c r="U150" i="1" s="1"/>
  <c r="AI150" i="1"/>
  <c r="AJ150" i="1"/>
  <c r="CX150" i="1" s="1"/>
  <c r="W150" i="1" s="1"/>
  <c r="CQ150" i="1"/>
  <c r="CR150" i="1"/>
  <c r="CS150" i="1"/>
  <c r="CU150" i="1"/>
  <c r="CW150" i="1"/>
  <c r="V150" i="1" s="1"/>
  <c r="FR150" i="1"/>
  <c r="GL150" i="1"/>
  <c r="GN150" i="1"/>
  <c r="GP150" i="1"/>
  <c r="GV150" i="1"/>
  <c r="GX150" i="1"/>
  <c r="HC150" i="1"/>
  <c r="I151" i="1"/>
  <c r="Q151" i="1" s="1"/>
  <c r="P151" i="1"/>
  <c r="R151" i="1"/>
  <c r="GK151" i="1" s="1"/>
  <c r="T151" i="1"/>
  <c r="AC151" i="1"/>
  <c r="AD151" i="1"/>
  <c r="AB151" i="1" s="1"/>
  <c r="AE151" i="1"/>
  <c r="AF151" i="1"/>
  <c r="AG151" i="1"/>
  <c r="AH151" i="1"/>
  <c r="CV151" i="1" s="1"/>
  <c r="U151" i="1" s="1"/>
  <c r="AI151" i="1"/>
  <c r="AJ151" i="1"/>
  <c r="CX151" i="1" s="1"/>
  <c r="W151" i="1" s="1"/>
  <c r="CQ151" i="1"/>
  <c r="CR151" i="1"/>
  <c r="CS151" i="1"/>
  <c r="CU151" i="1"/>
  <c r="CW151" i="1"/>
  <c r="V151" i="1" s="1"/>
  <c r="FR151" i="1"/>
  <c r="GL151" i="1"/>
  <c r="GO151" i="1"/>
  <c r="GP151" i="1"/>
  <c r="GV151" i="1"/>
  <c r="GX151" i="1"/>
  <c r="HC151" i="1"/>
  <c r="I152" i="1"/>
  <c r="Q152" i="1" s="1"/>
  <c r="R152" i="1"/>
  <c r="GK152" i="1" s="1"/>
  <c r="V152" i="1"/>
  <c r="AC152" i="1"/>
  <c r="AD152" i="1"/>
  <c r="AB152" i="1" s="1"/>
  <c r="AE152" i="1"/>
  <c r="AF152" i="1"/>
  <c r="AG152" i="1"/>
  <c r="AH152" i="1"/>
  <c r="CV152" i="1" s="1"/>
  <c r="U152" i="1" s="1"/>
  <c r="AI152" i="1"/>
  <c r="AJ152" i="1"/>
  <c r="CX152" i="1" s="1"/>
  <c r="W152" i="1" s="1"/>
  <c r="CQ152" i="1"/>
  <c r="CR152" i="1"/>
  <c r="CS152" i="1"/>
  <c r="CU152" i="1"/>
  <c r="T152" i="1" s="1"/>
  <c r="CW152" i="1"/>
  <c r="FR152" i="1"/>
  <c r="GL152" i="1"/>
  <c r="GO152" i="1"/>
  <c r="GP152" i="1"/>
  <c r="GV152" i="1"/>
  <c r="HC152" i="1"/>
  <c r="B154" i="1"/>
  <c r="B147" i="1" s="1"/>
  <c r="C154" i="1"/>
  <c r="D154" i="1"/>
  <c r="D147" i="1" s="1"/>
  <c r="F154" i="1"/>
  <c r="F147" i="1" s="1"/>
  <c r="G154" i="1"/>
  <c r="G147" i="1" s="1"/>
  <c r="BX154" i="1"/>
  <c r="AO154" i="1" s="1"/>
  <c r="BY154" i="1"/>
  <c r="BY147" i="1" s="1"/>
  <c r="CK154" i="1"/>
  <c r="CK147" i="1" s="1"/>
  <c r="CL154" i="1"/>
  <c r="BC154" i="1" s="1"/>
  <c r="CM154" i="1"/>
  <c r="CM147" i="1" s="1"/>
  <c r="D184" i="1"/>
  <c r="E186" i="1"/>
  <c r="Z186" i="1"/>
  <c r="AA186" i="1"/>
  <c r="AM186" i="1"/>
  <c r="AN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DB186" i="1"/>
  <c r="DC186" i="1"/>
  <c r="DD186" i="1"/>
  <c r="DE186" i="1"/>
  <c r="DF186" i="1"/>
  <c r="DG186" i="1"/>
  <c r="DH186" i="1"/>
  <c r="DI186" i="1"/>
  <c r="DJ186" i="1"/>
  <c r="DK186" i="1"/>
  <c r="DL186" i="1"/>
  <c r="DM186" i="1"/>
  <c r="DN186" i="1"/>
  <c r="DO186" i="1"/>
  <c r="DP186" i="1"/>
  <c r="DQ186" i="1"/>
  <c r="DR186" i="1"/>
  <c r="DS186" i="1"/>
  <c r="DT186" i="1"/>
  <c r="DU186" i="1"/>
  <c r="DV186" i="1"/>
  <c r="DW186" i="1"/>
  <c r="DX186" i="1"/>
  <c r="DY186" i="1"/>
  <c r="DZ186" i="1"/>
  <c r="EA186" i="1"/>
  <c r="EB186" i="1"/>
  <c r="EC186" i="1"/>
  <c r="ED186" i="1"/>
  <c r="EE186" i="1"/>
  <c r="EF186" i="1"/>
  <c r="EG186" i="1"/>
  <c r="EH186" i="1"/>
  <c r="EI186" i="1"/>
  <c r="EJ186" i="1"/>
  <c r="EK186" i="1"/>
  <c r="EL186" i="1"/>
  <c r="EM186" i="1"/>
  <c r="EN186" i="1"/>
  <c r="EO186" i="1"/>
  <c r="EP186" i="1"/>
  <c r="EQ186" i="1"/>
  <c r="ER186" i="1"/>
  <c r="ES186" i="1"/>
  <c r="ET186" i="1"/>
  <c r="EU186" i="1"/>
  <c r="EV186" i="1"/>
  <c r="EW186" i="1"/>
  <c r="EX186" i="1"/>
  <c r="EY186" i="1"/>
  <c r="EZ186" i="1"/>
  <c r="FA186" i="1"/>
  <c r="FB186" i="1"/>
  <c r="FC186" i="1"/>
  <c r="FD186" i="1"/>
  <c r="FE186" i="1"/>
  <c r="FF186" i="1"/>
  <c r="FG186" i="1"/>
  <c r="FH186" i="1"/>
  <c r="FI186" i="1"/>
  <c r="FJ186" i="1"/>
  <c r="FK186" i="1"/>
  <c r="FL186" i="1"/>
  <c r="FM186" i="1"/>
  <c r="FN186" i="1"/>
  <c r="FO186" i="1"/>
  <c r="FP186" i="1"/>
  <c r="FQ186" i="1"/>
  <c r="FR186" i="1"/>
  <c r="FS186" i="1"/>
  <c r="FT186" i="1"/>
  <c r="FU186" i="1"/>
  <c r="FV186" i="1"/>
  <c r="FW186" i="1"/>
  <c r="FX186" i="1"/>
  <c r="FY186" i="1"/>
  <c r="FZ186" i="1"/>
  <c r="GA186" i="1"/>
  <c r="GB186" i="1"/>
  <c r="GC186" i="1"/>
  <c r="GD186" i="1"/>
  <c r="GE186" i="1"/>
  <c r="GF186" i="1"/>
  <c r="GG186" i="1"/>
  <c r="GH186" i="1"/>
  <c r="GI186" i="1"/>
  <c r="GJ186" i="1"/>
  <c r="GK186" i="1"/>
  <c r="GL186" i="1"/>
  <c r="GM186" i="1"/>
  <c r="GN186" i="1"/>
  <c r="GO186" i="1"/>
  <c r="GP186" i="1"/>
  <c r="GQ186" i="1"/>
  <c r="GR186" i="1"/>
  <c r="GS186" i="1"/>
  <c r="GT186" i="1"/>
  <c r="GU186" i="1"/>
  <c r="GV186" i="1"/>
  <c r="GW186" i="1"/>
  <c r="GX186" i="1"/>
  <c r="C188" i="1"/>
  <c r="D188" i="1"/>
  <c r="I188" i="1"/>
  <c r="CX11" i="3" s="1"/>
  <c r="S188" i="1"/>
  <c r="CY188" i="1" s="1"/>
  <c r="X188" i="1" s="1"/>
  <c r="AK190" i="1" s="1"/>
  <c r="AC188" i="1"/>
  <c r="P188" i="1" s="1"/>
  <c r="AE188" i="1"/>
  <c r="R188" i="1" s="1"/>
  <c r="AF188" i="1"/>
  <c r="AG188" i="1"/>
  <c r="CU188" i="1" s="1"/>
  <c r="T188" i="1" s="1"/>
  <c r="AG190" i="1" s="1"/>
  <c r="AH188" i="1"/>
  <c r="AI188" i="1"/>
  <c r="CW188" i="1" s="1"/>
  <c r="V188" i="1" s="1"/>
  <c r="AI190" i="1" s="1"/>
  <c r="AJ188" i="1"/>
  <c r="CR188" i="1"/>
  <c r="CT188" i="1"/>
  <c r="CV188" i="1"/>
  <c r="U188" i="1" s="1"/>
  <c r="AH190" i="1" s="1"/>
  <c r="CX188" i="1"/>
  <c r="W188" i="1" s="1"/>
  <c r="AJ190" i="1" s="1"/>
  <c r="CZ188" i="1"/>
  <c r="Y188" i="1" s="1"/>
  <c r="AL190" i="1" s="1"/>
  <c r="FR188" i="1"/>
  <c r="GL188" i="1"/>
  <c r="GO188" i="1"/>
  <c r="CC190" i="1" s="1"/>
  <c r="GP188" i="1"/>
  <c r="GV188" i="1"/>
  <c r="HC188" i="1"/>
  <c r="GX188" i="1" s="1"/>
  <c r="CJ190" i="1" s="1"/>
  <c r="B190" i="1"/>
  <c r="B186" i="1" s="1"/>
  <c r="C190" i="1"/>
  <c r="C186" i="1" s="1"/>
  <c r="D190" i="1"/>
  <c r="D186" i="1" s="1"/>
  <c r="F190" i="1"/>
  <c r="F186" i="1" s="1"/>
  <c r="G190" i="1"/>
  <c r="G186" i="1" s="1"/>
  <c r="BX190" i="1"/>
  <c r="CG190" i="1" s="1"/>
  <c r="BY190" i="1"/>
  <c r="BY186" i="1" s="1"/>
  <c r="BZ190" i="1"/>
  <c r="BZ186" i="1" s="1"/>
  <c r="CD190" i="1"/>
  <c r="CD186" i="1" s="1"/>
  <c r="CK190" i="1"/>
  <c r="CK186" i="1" s="1"/>
  <c r="CL190" i="1"/>
  <c r="CL186" i="1" s="1"/>
  <c r="CM190" i="1"/>
  <c r="CM186" i="1" s="1"/>
  <c r="B220" i="1"/>
  <c r="B22" i="1" s="1"/>
  <c r="C220" i="1"/>
  <c r="C22" i="1" s="1"/>
  <c r="D220" i="1"/>
  <c r="D22" i="1" s="1"/>
  <c r="F220" i="1"/>
  <c r="F22" i="1" s="1"/>
  <c r="G220" i="1"/>
  <c r="G22" i="1" s="1"/>
  <c r="B250" i="1"/>
  <c r="B18" i="1" s="1"/>
  <c r="C250" i="1"/>
  <c r="C18" i="1" s="1"/>
  <c r="D250" i="1"/>
  <c r="D18" i="1" s="1"/>
  <c r="F250" i="1"/>
  <c r="F18" i="1" s="1"/>
  <c r="G250" i="1"/>
  <c r="I25" i="5" l="1"/>
  <c r="I23" i="5"/>
  <c r="G18" i="1"/>
  <c r="A210" i="6"/>
  <c r="A203" i="5"/>
  <c r="AL210" i="6"/>
  <c r="AL203" i="5"/>
  <c r="K174" i="6"/>
  <c r="K210" i="6"/>
  <c r="K206" i="6"/>
  <c r="K101" i="6"/>
  <c r="I174" i="6"/>
  <c r="I206" i="6"/>
  <c r="I101" i="6"/>
  <c r="I210" i="6"/>
  <c r="I22" i="5"/>
  <c r="J203" i="5"/>
  <c r="J199" i="5"/>
  <c r="J94" i="5"/>
  <c r="J167" i="5"/>
  <c r="H167" i="5"/>
  <c r="I26" i="5"/>
  <c r="H131" i="5"/>
  <c r="I21" i="5"/>
  <c r="H203" i="5"/>
  <c r="H94" i="5"/>
  <c r="H199" i="5"/>
  <c r="CC186" i="1"/>
  <c r="AT190" i="1"/>
  <c r="AJ186" i="1"/>
  <c r="W190" i="1"/>
  <c r="AC190" i="1"/>
  <c r="BY69" i="1"/>
  <c r="AP75" i="1"/>
  <c r="CI75" i="1"/>
  <c r="CG186" i="1"/>
  <c r="AX190" i="1"/>
  <c r="CJ186" i="1"/>
  <c r="BA190" i="1"/>
  <c r="AL186" i="1"/>
  <c r="Y190" i="1"/>
  <c r="AH186" i="1"/>
  <c r="U190" i="1"/>
  <c r="AI186" i="1"/>
  <c r="V190" i="1"/>
  <c r="AG186" i="1"/>
  <c r="T190" i="1"/>
  <c r="GK188" i="1"/>
  <c r="AE190" i="1"/>
  <c r="AK186" i="1"/>
  <c r="X190" i="1"/>
  <c r="U154" i="1"/>
  <c r="AH147" i="1"/>
  <c r="W154" i="1"/>
  <c r="AJ147" i="1"/>
  <c r="U115" i="1"/>
  <c r="AH107" i="1"/>
  <c r="AG115" i="1"/>
  <c r="AJ115" i="1"/>
  <c r="BC190" i="1"/>
  <c r="AU190" i="1"/>
  <c r="AQ190" i="1"/>
  <c r="AO190" i="1"/>
  <c r="Q188" i="1"/>
  <c r="AD190" i="1" s="1"/>
  <c r="BX186" i="1"/>
  <c r="BD154" i="1"/>
  <c r="S152" i="1"/>
  <c r="CT152" i="1"/>
  <c r="P149" i="1"/>
  <c r="AB149" i="1"/>
  <c r="CQ149" i="1"/>
  <c r="BD115" i="1"/>
  <c r="S113" i="1"/>
  <c r="CT113" i="1"/>
  <c r="P112" i="1"/>
  <c r="CQ112" i="1"/>
  <c r="R110" i="1"/>
  <c r="GK110" i="1" s="1"/>
  <c r="AD110" i="1"/>
  <c r="CS110" i="1"/>
  <c r="Q110" i="1"/>
  <c r="BZ115" i="1"/>
  <c r="S109" i="1"/>
  <c r="CT109" i="1"/>
  <c r="AI115" i="1"/>
  <c r="GK109" i="1"/>
  <c r="CK69" i="1"/>
  <c r="BB75" i="1"/>
  <c r="U75" i="1"/>
  <c r="AH69" i="1"/>
  <c r="AS75" i="1"/>
  <c r="CB69" i="1"/>
  <c r="CJ75" i="1"/>
  <c r="AI69" i="1"/>
  <c r="V75" i="1"/>
  <c r="R71" i="1"/>
  <c r="AD71" i="1"/>
  <c r="CS71" i="1"/>
  <c r="CR71" i="1"/>
  <c r="AP26" i="1"/>
  <c r="F46" i="1"/>
  <c r="CI190" i="1"/>
  <c r="BD190" i="1"/>
  <c r="BB190" i="1"/>
  <c r="AP190" i="1"/>
  <c r="AF190" i="1"/>
  <c r="CS188" i="1"/>
  <c r="CQ188" i="1"/>
  <c r="AD188" i="1"/>
  <c r="AB188" i="1" s="1"/>
  <c r="BC147" i="1"/>
  <c r="F170" i="1"/>
  <c r="CI154" i="1"/>
  <c r="AO147" i="1"/>
  <c r="F158" i="1"/>
  <c r="BB154" i="1"/>
  <c r="AP154" i="1"/>
  <c r="GX152" i="1"/>
  <c r="CJ154" i="1" s="1"/>
  <c r="P152" i="1"/>
  <c r="S151" i="1"/>
  <c r="CT151" i="1"/>
  <c r="CD154" i="1"/>
  <c r="BZ154" i="1"/>
  <c r="S150" i="1"/>
  <c r="CT150" i="1"/>
  <c r="AI154" i="1"/>
  <c r="AG154" i="1"/>
  <c r="R149" i="1"/>
  <c r="AD149" i="1"/>
  <c r="CS149" i="1"/>
  <c r="Q149" i="1"/>
  <c r="AD154" i="1" s="1"/>
  <c r="BC107" i="1"/>
  <c r="F131" i="1"/>
  <c r="CI115" i="1"/>
  <c r="AO107" i="1"/>
  <c r="F119" i="1"/>
  <c r="BB115" i="1"/>
  <c r="AT115" i="1"/>
  <c r="AP115" i="1"/>
  <c r="CP113" i="1"/>
  <c r="O113" i="1" s="1"/>
  <c r="R112" i="1"/>
  <c r="GK112" i="1" s="1"/>
  <c r="AD112" i="1"/>
  <c r="AB112" i="1" s="1"/>
  <c r="CS112" i="1"/>
  <c r="Q112" i="1"/>
  <c r="S111" i="1"/>
  <c r="CT111" i="1"/>
  <c r="CR110" i="1"/>
  <c r="P110" i="1"/>
  <c r="CP110" i="1" s="1"/>
  <c r="O110" i="1" s="1"/>
  <c r="AB110" i="1"/>
  <c r="CQ110" i="1"/>
  <c r="CJ115" i="1"/>
  <c r="CB115" i="1"/>
  <c r="CP109" i="1"/>
  <c r="O109" i="1" s="1"/>
  <c r="AC115" i="1"/>
  <c r="CG69" i="1"/>
  <c r="AX75" i="1"/>
  <c r="BD75" i="1"/>
  <c r="T75" i="1"/>
  <c r="P72" i="1"/>
  <c r="CQ72" i="1"/>
  <c r="CY72" i="1"/>
  <c r="X72" i="1" s="1"/>
  <c r="AF75" i="1"/>
  <c r="AJ75" i="1"/>
  <c r="Q71" i="1"/>
  <c r="CI26" i="1"/>
  <c r="AZ37" i="1"/>
  <c r="BB26" i="1"/>
  <c r="F50" i="1"/>
  <c r="AJ26" i="1"/>
  <c r="W37" i="1"/>
  <c r="AH26" i="1"/>
  <c r="U37" i="1"/>
  <c r="AF26" i="1"/>
  <c r="S37" i="1"/>
  <c r="BC69" i="1"/>
  <c r="F91" i="1"/>
  <c r="AO69" i="1"/>
  <c r="F79" i="1"/>
  <c r="AQ69" i="1"/>
  <c r="F85" i="1"/>
  <c r="S73" i="1"/>
  <c r="CT73" i="1"/>
  <c r="R72" i="1"/>
  <c r="GK72" i="1" s="1"/>
  <c r="AD72" i="1"/>
  <c r="AB72" i="1" s="1"/>
  <c r="CS72" i="1"/>
  <c r="Q72" i="1"/>
  <c r="P71" i="1"/>
  <c r="AB71" i="1"/>
  <c r="CQ71" i="1"/>
  <c r="BD37" i="1"/>
  <c r="CJ26" i="1"/>
  <c r="BA37" i="1"/>
  <c r="V37" i="1"/>
  <c r="T37" i="1"/>
  <c r="R35" i="1"/>
  <c r="GK35" i="1" s="1"/>
  <c r="AD35" i="1"/>
  <c r="CS35" i="1"/>
  <c r="Q35" i="1"/>
  <c r="BC37" i="1"/>
  <c r="AU37" i="1"/>
  <c r="AQ37" i="1"/>
  <c r="AO37" i="1"/>
  <c r="CR35" i="1"/>
  <c r="P35" i="1"/>
  <c r="CP35" i="1" s="1"/>
  <c r="O35" i="1" s="1"/>
  <c r="AB35" i="1"/>
  <c r="CQ35" i="1"/>
  <c r="CP34" i="1"/>
  <c r="O34" i="1" s="1"/>
  <c r="CP32" i="1"/>
  <c r="O32" i="1" s="1"/>
  <c r="CP30" i="1"/>
  <c r="O30" i="1" s="1"/>
  <c r="CY29" i="1"/>
  <c r="X29" i="1" s="1"/>
  <c r="AK37" i="1" s="1"/>
  <c r="CZ29" i="1"/>
  <c r="Y29" i="1" s="1"/>
  <c r="AL37" i="1" s="1"/>
  <c r="Q34" i="1"/>
  <c r="Q33" i="1"/>
  <c r="CP33" i="1" s="1"/>
  <c r="O33" i="1" s="1"/>
  <c r="Q32" i="1"/>
  <c r="Q31" i="1"/>
  <c r="CP31" i="1" s="1"/>
  <c r="O31" i="1" s="1"/>
  <c r="Q30" i="1"/>
  <c r="Q29" i="1"/>
  <c r="CP29" i="1" s="1"/>
  <c r="O29" i="1" s="1"/>
  <c r="R28" i="1"/>
  <c r="AD28" i="1"/>
  <c r="AB28" i="1" s="1"/>
  <c r="CS28" i="1"/>
  <c r="Q28" i="1"/>
  <c r="AD37" i="1" s="1"/>
  <c r="CS34" i="1"/>
  <c r="CQ34" i="1"/>
  <c r="AD34" i="1"/>
  <c r="AB34" i="1"/>
  <c r="CS33" i="1"/>
  <c r="CQ33" i="1"/>
  <c r="AD33" i="1"/>
  <c r="AB33" i="1"/>
  <c r="CS32" i="1"/>
  <c r="CQ32" i="1"/>
  <c r="AD32" i="1"/>
  <c r="AB32" i="1"/>
  <c r="CS31" i="1"/>
  <c r="CQ31" i="1"/>
  <c r="AD31" i="1"/>
  <c r="AB31" i="1"/>
  <c r="CS30" i="1"/>
  <c r="CQ30" i="1"/>
  <c r="AD30" i="1"/>
  <c r="AB30" i="1"/>
  <c r="CS29" i="1"/>
  <c r="CQ29" i="1"/>
  <c r="AD29" i="1"/>
  <c r="AB29" i="1"/>
  <c r="CR28" i="1"/>
  <c r="P28" i="1"/>
  <c r="CQ28" i="1"/>
  <c r="CX9" i="3"/>
  <c r="CX5" i="3"/>
  <c r="GM31" i="1" l="1"/>
  <c r="GO31" i="1"/>
  <c r="GM33" i="1"/>
  <c r="GO33" i="1"/>
  <c r="BA154" i="1"/>
  <c r="CJ147" i="1"/>
  <c r="CP28" i="1"/>
  <c r="O28" i="1" s="1"/>
  <c r="AC37" i="1"/>
  <c r="AD26" i="1"/>
  <c r="Q37" i="1"/>
  <c r="GN29" i="1"/>
  <c r="GM29" i="1"/>
  <c r="AL26" i="1"/>
  <c r="Y37" i="1"/>
  <c r="GN30" i="1"/>
  <c r="GM30" i="1"/>
  <c r="GN32" i="1"/>
  <c r="GM32" i="1"/>
  <c r="GM34" i="1"/>
  <c r="GO34" i="1"/>
  <c r="AQ26" i="1"/>
  <c r="F47" i="1"/>
  <c r="BC26" i="1"/>
  <c r="F53" i="1"/>
  <c r="BC220" i="1"/>
  <c r="V26" i="1"/>
  <c r="F60" i="1"/>
  <c r="S26" i="1"/>
  <c r="F52" i="1"/>
  <c r="U26" i="1"/>
  <c r="F59" i="1"/>
  <c r="U220" i="1"/>
  <c r="W26" i="1"/>
  <c r="F61" i="1"/>
  <c r="AZ26" i="1"/>
  <c r="F48" i="1"/>
  <c r="AD75" i="1"/>
  <c r="S75" i="1"/>
  <c r="AF69" i="1"/>
  <c r="CP72" i="1"/>
  <c r="O72" i="1" s="1"/>
  <c r="T69" i="1"/>
  <c r="F96" i="1"/>
  <c r="F82" i="1"/>
  <c r="AX69" i="1"/>
  <c r="AC107" i="1"/>
  <c r="CF115" i="1"/>
  <c r="CH115" i="1"/>
  <c r="CE115" i="1"/>
  <c r="P115" i="1"/>
  <c r="AS115" i="1"/>
  <c r="CB107" i="1"/>
  <c r="GP110" i="1"/>
  <c r="GM110" i="1"/>
  <c r="F133" i="1"/>
  <c r="AT107" i="1"/>
  <c r="CI107" i="1"/>
  <c r="AZ115" i="1"/>
  <c r="AE154" i="1"/>
  <c r="GK149" i="1"/>
  <c r="AI147" i="1"/>
  <c r="V154" i="1"/>
  <c r="CZ150" i="1"/>
  <c r="Y150" i="1" s="1"/>
  <c r="CY150" i="1"/>
  <c r="X150" i="1" s="1"/>
  <c r="AU154" i="1"/>
  <c r="CD147" i="1"/>
  <c r="CZ151" i="1"/>
  <c r="Y151" i="1" s="1"/>
  <c r="CY151" i="1"/>
  <c r="X151" i="1" s="1"/>
  <c r="AP147" i="1"/>
  <c r="F163" i="1"/>
  <c r="CI147" i="1"/>
  <c r="AZ154" i="1"/>
  <c r="AP186" i="1"/>
  <c r="F199" i="1"/>
  <c r="F215" i="1"/>
  <c r="BD186" i="1"/>
  <c r="F98" i="1"/>
  <c r="V69" i="1"/>
  <c r="BA75" i="1"/>
  <c r="CJ69" i="1"/>
  <c r="AS69" i="1"/>
  <c r="F92" i="1"/>
  <c r="U69" i="1"/>
  <c r="F97" i="1"/>
  <c r="AQ115" i="1"/>
  <c r="BZ107" i="1"/>
  <c r="CG115" i="1"/>
  <c r="CP112" i="1"/>
  <c r="O112" i="1" s="1"/>
  <c r="CZ113" i="1"/>
  <c r="Y113" i="1" s="1"/>
  <c r="GM113" i="1" s="1"/>
  <c r="CY113" i="1"/>
  <c r="X113" i="1" s="1"/>
  <c r="GP113" i="1" s="1"/>
  <c r="CP150" i="1"/>
  <c r="O150" i="1" s="1"/>
  <c r="CP151" i="1"/>
  <c r="O151" i="1" s="1"/>
  <c r="CZ152" i="1"/>
  <c r="Y152" i="1" s="1"/>
  <c r="CY152" i="1"/>
  <c r="X152" i="1" s="1"/>
  <c r="AO186" i="1"/>
  <c r="F194" i="1"/>
  <c r="AU186" i="1"/>
  <c r="F209" i="1"/>
  <c r="AJ107" i="1"/>
  <c r="W115" i="1"/>
  <c r="CI69" i="1"/>
  <c r="AZ75" i="1"/>
  <c r="AC186" i="1"/>
  <c r="P190" i="1"/>
  <c r="CE190" i="1"/>
  <c r="CF190" i="1"/>
  <c r="CH190" i="1"/>
  <c r="W186" i="1"/>
  <c r="F214" i="1"/>
  <c r="AT186" i="1"/>
  <c r="F208" i="1"/>
  <c r="GK28" i="1"/>
  <c r="AE37" i="1"/>
  <c r="AK26" i="1"/>
  <c r="X37" i="1"/>
  <c r="GN35" i="1"/>
  <c r="GM35" i="1"/>
  <c r="AO26" i="1"/>
  <c r="F41" i="1"/>
  <c r="AO220" i="1"/>
  <c r="AU26" i="1"/>
  <c r="F56" i="1"/>
  <c r="T26" i="1"/>
  <c r="F58" i="1"/>
  <c r="BA26" i="1"/>
  <c r="F57" i="1"/>
  <c r="BD26" i="1"/>
  <c r="F62" i="1"/>
  <c r="BD220" i="1"/>
  <c r="AC75" i="1"/>
  <c r="CP71" i="1"/>
  <c r="O71" i="1" s="1"/>
  <c r="CZ73" i="1"/>
  <c r="Y73" i="1" s="1"/>
  <c r="AL75" i="1" s="1"/>
  <c r="CY73" i="1"/>
  <c r="X73" i="1" s="1"/>
  <c r="AK75" i="1" s="1"/>
  <c r="W75" i="1"/>
  <c r="AJ69" i="1"/>
  <c r="CP73" i="1"/>
  <c r="O73" i="1" s="1"/>
  <c r="BD69" i="1"/>
  <c r="F100" i="1"/>
  <c r="GP109" i="1"/>
  <c r="BA115" i="1"/>
  <c r="CJ107" i="1"/>
  <c r="CZ111" i="1"/>
  <c r="Y111" i="1" s="1"/>
  <c r="CY111" i="1"/>
  <c r="X111" i="1" s="1"/>
  <c r="AP107" i="1"/>
  <c r="F124" i="1"/>
  <c r="BB107" i="1"/>
  <c r="F128" i="1"/>
  <c r="Q154" i="1"/>
  <c r="AD147" i="1"/>
  <c r="AG147" i="1"/>
  <c r="T154" i="1"/>
  <c r="AQ154" i="1"/>
  <c r="BZ147" i="1"/>
  <c r="CG154" i="1"/>
  <c r="CP152" i="1"/>
  <c r="O152" i="1" s="1"/>
  <c r="AF154" i="1"/>
  <c r="BB147" i="1"/>
  <c r="F167" i="1"/>
  <c r="AF186" i="1"/>
  <c r="S190" i="1"/>
  <c r="BB186" i="1"/>
  <c r="F203" i="1"/>
  <c r="CI186" i="1"/>
  <c r="AZ190" i="1"/>
  <c r="AE75" i="1"/>
  <c r="GK71" i="1"/>
  <c r="F88" i="1"/>
  <c r="BB69" i="1"/>
  <c r="BB220" i="1"/>
  <c r="AE115" i="1"/>
  <c r="AI107" i="1"/>
  <c r="V115" i="1"/>
  <c r="CZ109" i="1"/>
  <c r="Y109" i="1" s="1"/>
  <c r="AF115" i="1"/>
  <c r="CY109" i="1"/>
  <c r="X109" i="1" s="1"/>
  <c r="AK115" i="1" s="1"/>
  <c r="AD115" i="1"/>
  <c r="CP111" i="1"/>
  <c r="O111" i="1" s="1"/>
  <c r="BD107" i="1"/>
  <c r="F140" i="1"/>
  <c r="AC154" i="1"/>
  <c r="CP149" i="1"/>
  <c r="O149" i="1" s="1"/>
  <c r="BD147" i="1"/>
  <c r="F179" i="1"/>
  <c r="AD186" i="1"/>
  <c r="Q190" i="1"/>
  <c r="AQ186" i="1"/>
  <c r="F200" i="1"/>
  <c r="BC186" i="1"/>
  <c r="F206" i="1"/>
  <c r="AG107" i="1"/>
  <c r="T115" i="1"/>
  <c r="U107" i="1"/>
  <c r="F137" i="1"/>
  <c r="W147" i="1"/>
  <c r="F178" i="1"/>
  <c r="U147" i="1"/>
  <c r="F176" i="1"/>
  <c r="X186" i="1"/>
  <c r="F216" i="1"/>
  <c r="AE186" i="1"/>
  <c r="R190" i="1"/>
  <c r="F211" i="1"/>
  <c r="T186" i="1"/>
  <c r="V186" i="1"/>
  <c r="F213" i="1"/>
  <c r="U186" i="1"/>
  <c r="F212" i="1"/>
  <c r="Y186" i="1"/>
  <c r="F217" i="1"/>
  <c r="BA186" i="1"/>
  <c r="F210" i="1"/>
  <c r="AX186" i="1"/>
  <c r="F197" i="1"/>
  <c r="AP69" i="1"/>
  <c r="F84" i="1"/>
  <c r="AP220" i="1"/>
  <c r="CP188" i="1"/>
  <c r="O188" i="1" s="1"/>
  <c r="AP22" i="1" l="1"/>
  <c r="AP250" i="1"/>
  <c r="F229" i="1"/>
  <c r="G16" i="2" s="1"/>
  <c r="G18" i="2" s="1"/>
  <c r="AC147" i="1"/>
  <c r="CF154" i="1"/>
  <c r="CH154" i="1"/>
  <c r="CE154" i="1"/>
  <c r="P154" i="1"/>
  <c r="Q115" i="1"/>
  <c r="AD107" i="1"/>
  <c r="AF107" i="1"/>
  <c r="S115" i="1"/>
  <c r="V107" i="1"/>
  <c r="F138" i="1"/>
  <c r="AE107" i="1"/>
  <c r="R115" i="1"/>
  <c r="F201" i="1"/>
  <c r="AZ186" i="1"/>
  <c r="S186" i="1"/>
  <c r="F205" i="1"/>
  <c r="S154" i="1"/>
  <c r="AF147" i="1"/>
  <c r="CG147" i="1"/>
  <c r="AX154" i="1"/>
  <c r="AQ147" i="1"/>
  <c r="F164" i="1"/>
  <c r="Q147" i="1"/>
  <c r="F166" i="1"/>
  <c r="BA107" i="1"/>
  <c r="F135" i="1"/>
  <c r="GM73" i="1"/>
  <c r="GO73" i="1"/>
  <c r="W69" i="1"/>
  <c r="F99" i="1"/>
  <c r="Y75" i="1"/>
  <c r="AL69" i="1"/>
  <c r="AC69" i="1"/>
  <c r="CF75" i="1"/>
  <c r="CH75" i="1"/>
  <c r="CE75" i="1"/>
  <c r="P75" i="1"/>
  <c r="BA220" i="1"/>
  <c r="X26" i="1"/>
  <c r="F63" i="1"/>
  <c r="AE26" i="1"/>
  <c r="R37" i="1"/>
  <c r="CH186" i="1"/>
  <c r="AY190" i="1"/>
  <c r="CE186" i="1"/>
  <c r="AV190" i="1"/>
  <c r="GM150" i="1"/>
  <c r="GO150" i="1"/>
  <c r="CG107" i="1"/>
  <c r="AX115" i="1"/>
  <c r="AQ107" i="1"/>
  <c r="F125" i="1"/>
  <c r="BA69" i="1"/>
  <c r="F95" i="1"/>
  <c r="AU147" i="1"/>
  <c r="F173" i="1"/>
  <c r="AL154" i="1"/>
  <c r="AE147" i="1"/>
  <c r="R154" i="1"/>
  <c r="AS107" i="1"/>
  <c r="F132" i="1"/>
  <c r="CE107" i="1"/>
  <c r="AV115" i="1"/>
  <c r="AW115" i="1"/>
  <c r="CF107" i="1"/>
  <c r="Q75" i="1"/>
  <c r="AD69" i="1"/>
  <c r="W220" i="1"/>
  <c r="V220" i="1"/>
  <c r="BC22" i="1"/>
  <c r="F236" i="1"/>
  <c r="BC250" i="1"/>
  <c r="Y26" i="1"/>
  <c r="F64" i="1"/>
  <c r="Q26" i="1"/>
  <c r="F49" i="1"/>
  <c r="Q220" i="1"/>
  <c r="AC26" i="1"/>
  <c r="CF37" i="1"/>
  <c r="CH37" i="1"/>
  <c r="P37" i="1"/>
  <c r="CE37" i="1"/>
  <c r="CC37" i="1"/>
  <c r="GN188" i="1"/>
  <c r="CB190" i="1" s="1"/>
  <c r="AB190" i="1"/>
  <c r="GM188" i="1"/>
  <c r="CA190" i="1" s="1"/>
  <c r="R186" i="1"/>
  <c r="F204" i="1"/>
  <c r="T107" i="1"/>
  <c r="F136" i="1"/>
  <c r="Q186" i="1"/>
  <c r="F202" i="1"/>
  <c r="AB154" i="1"/>
  <c r="GM149" i="1"/>
  <c r="GO149" i="1"/>
  <c r="CC154" i="1" s="1"/>
  <c r="GM111" i="1"/>
  <c r="GP111" i="1"/>
  <c r="CD115" i="1" s="1"/>
  <c r="AK107" i="1"/>
  <c r="X115" i="1"/>
  <c r="AL115" i="1"/>
  <c r="BB22" i="1"/>
  <c r="BB250" i="1"/>
  <c r="F233" i="1"/>
  <c r="AE69" i="1"/>
  <c r="R75" i="1"/>
  <c r="GM152" i="1"/>
  <c r="GN152" i="1"/>
  <c r="T147" i="1"/>
  <c r="F175" i="1"/>
  <c r="AB115" i="1"/>
  <c r="GM109" i="1"/>
  <c r="AK69" i="1"/>
  <c r="X75" i="1"/>
  <c r="GM71" i="1"/>
  <c r="CA75" i="1" s="1"/>
  <c r="GO71" i="1"/>
  <c r="AB75" i="1"/>
  <c r="BD22" i="1"/>
  <c r="BD250" i="1"/>
  <c r="F245" i="1"/>
  <c r="T220" i="1"/>
  <c r="AO22" i="1"/>
  <c r="F224" i="1"/>
  <c r="AO250" i="1"/>
  <c r="CF186" i="1"/>
  <c r="AW190" i="1"/>
  <c r="F193" i="1"/>
  <c r="P186" i="1"/>
  <c r="AZ69" i="1"/>
  <c r="F86" i="1"/>
  <c r="W107" i="1"/>
  <c r="F139" i="1"/>
  <c r="GM151" i="1"/>
  <c r="GN151" i="1"/>
  <c r="CB154" i="1" s="1"/>
  <c r="GP112" i="1"/>
  <c r="GM112" i="1"/>
  <c r="F165" i="1"/>
  <c r="AZ147" i="1"/>
  <c r="AK154" i="1"/>
  <c r="V147" i="1"/>
  <c r="F177" i="1"/>
  <c r="F126" i="1"/>
  <c r="AZ107" i="1"/>
  <c r="F118" i="1"/>
  <c r="P107" i="1"/>
  <c r="AY115" i="1"/>
  <c r="CH107" i="1"/>
  <c r="GM72" i="1"/>
  <c r="GO72" i="1"/>
  <c r="S69" i="1"/>
  <c r="F90" i="1"/>
  <c r="AZ220" i="1"/>
  <c r="U22" i="1"/>
  <c r="F242" i="1"/>
  <c r="U250" i="1"/>
  <c r="AQ220" i="1"/>
  <c r="GN28" i="1"/>
  <c r="CB37" i="1" s="1"/>
  <c r="GM28" i="1"/>
  <c r="CA37" i="1" s="1"/>
  <c r="AB37" i="1"/>
  <c r="BA147" i="1"/>
  <c r="F174" i="1"/>
  <c r="AU115" i="1" l="1"/>
  <c r="CD107" i="1"/>
  <c r="AK147" i="1"/>
  <c r="X154" i="1"/>
  <c r="T22" i="1"/>
  <c r="F241" i="1"/>
  <c r="T250" i="1"/>
  <c r="BD18" i="1"/>
  <c r="F275" i="1"/>
  <c r="O75" i="1"/>
  <c r="AB69" i="1"/>
  <c r="CA69" i="1"/>
  <c r="AR75" i="1"/>
  <c r="AB107" i="1"/>
  <c r="O115" i="1"/>
  <c r="BB18" i="1"/>
  <c r="F263" i="1"/>
  <c r="Y115" i="1"/>
  <c r="AL107" i="1"/>
  <c r="CA154" i="1"/>
  <c r="CA186" i="1"/>
  <c r="AR190" i="1"/>
  <c r="CB186" i="1"/>
  <c r="AS190" i="1"/>
  <c r="CE26" i="1"/>
  <c r="AV37" i="1"/>
  <c r="CH26" i="1"/>
  <c r="AY37" i="1"/>
  <c r="V22" i="1"/>
  <c r="F243" i="1"/>
  <c r="V250" i="1"/>
  <c r="AV107" i="1"/>
  <c r="F120" i="1"/>
  <c r="F168" i="1"/>
  <c r="R147" i="1"/>
  <c r="CA26" i="1"/>
  <c r="AR37" i="1"/>
  <c r="AQ22" i="1"/>
  <c r="F230" i="1"/>
  <c r="AQ250" i="1"/>
  <c r="AZ22" i="1"/>
  <c r="AZ250" i="1"/>
  <c r="F231" i="1"/>
  <c r="AY107" i="1"/>
  <c r="F123" i="1"/>
  <c r="AS154" i="1"/>
  <c r="CB147" i="1"/>
  <c r="AW186" i="1"/>
  <c r="F196" i="1"/>
  <c r="AO18" i="1"/>
  <c r="F254" i="1"/>
  <c r="CC75" i="1"/>
  <c r="F101" i="1"/>
  <c r="X69" i="1"/>
  <c r="CA115" i="1"/>
  <c r="F89" i="1"/>
  <c r="R69" i="1"/>
  <c r="F141" i="1"/>
  <c r="X107" i="1"/>
  <c r="CC147" i="1"/>
  <c r="AT154" i="1"/>
  <c r="O154" i="1"/>
  <c r="AB147" i="1"/>
  <c r="AB186" i="1"/>
  <c r="O190" i="1"/>
  <c r="CC26" i="1"/>
  <c r="AT37" i="1"/>
  <c r="P26" i="1"/>
  <c r="F40" i="1"/>
  <c r="P220" i="1"/>
  <c r="CF26" i="1"/>
  <c r="AW37" i="1"/>
  <c r="Q22" i="1"/>
  <c r="F232" i="1"/>
  <c r="Q250" i="1"/>
  <c r="BC18" i="1"/>
  <c r="F266" i="1"/>
  <c r="W22" i="1"/>
  <c r="F244" i="1"/>
  <c r="W250" i="1"/>
  <c r="Q69" i="1"/>
  <c r="F87" i="1"/>
  <c r="AW107" i="1"/>
  <c r="F121" i="1"/>
  <c r="AX107" i="1"/>
  <c r="F122" i="1"/>
  <c r="AX220" i="1"/>
  <c r="F195" i="1"/>
  <c r="AV186" i="1"/>
  <c r="AY186" i="1"/>
  <c r="F198" i="1"/>
  <c r="R26" i="1"/>
  <c r="F51" i="1"/>
  <c r="R220" i="1"/>
  <c r="X220" i="1"/>
  <c r="P69" i="1"/>
  <c r="F78" i="1"/>
  <c r="AY75" i="1"/>
  <c r="CH69" i="1"/>
  <c r="Y69" i="1"/>
  <c r="F102" i="1"/>
  <c r="AX147" i="1"/>
  <c r="F161" i="1"/>
  <c r="R107" i="1"/>
  <c r="F129" i="1"/>
  <c r="S107" i="1"/>
  <c r="F130" i="1"/>
  <c r="S220" i="1"/>
  <c r="F157" i="1"/>
  <c r="P147" i="1"/>
  <c r="AY154" i="1"/>
  <c r="CH147" i="1"/>
  <c r="AP18" i="1"/>
  <c r="F259" i="1"/>
  <c r="AB26" i="1"/>
  <c r="O37" i="1"/>
  <c r="CB26" i="1"/>
  <c r="AS37" i="1"/>
  <c r="U18" i="1"/>
  <c r="F272" i="1"/>
  <c r="Y154" i="1"/>
  <c r="AL147" i="1"/>
  <c r="BA22" i="1"/>
  <c r="F240" i="1"/>
  <c r="BA250" i="1"/>
  <c r="CE69" i="1"/>
  <c r="AV75" i="1"/>
  <c r="AW75" i="1"/>
  <c r="CF69" i="1"/>
  <c r="S147" i="1"/>
  <c r="F169" i="1"/>
  <c r="Q107" i="1"/>
  <c r="F127" i="1"/>
  <c r="CE147" i="1"/>
  <c r="AV154" i="1"/>
  <c r="AW154" i="1"/>
  <c r="CF147" i="1"/>
  <c r="AV147" i="1" l="1"/>
  <c r="F159" i="1"/>
  <c r="AV69" i="1"/>
  <c r="F80" i="1"/>
  <c r="BA18" i="1"/>
  <c r="F270" i="1"/>
  <c r="Y147" i="1"/>
  <c r="F181" i="1"/>
  <c r="AY147" i="1"/>
  <c r="F162" i="1"/>
  <c r="X22" i="1"/>
  <c r="F246" i="1"/>
  <c r="X250" i="1"/>
  <c r="AX22" i="1"/>
  <c r="AX250" i="1"/>
  <c r="F227" i="1"/>
  <c r="Q18" i="1"/>
  <c r="F262" i="1"/>
  <c r="AT26" i="1"/>
  <c r="F55" i="1"/>
  <c r="O186" i="1"/>
  <c r="F192" i="1"/>
  <c r="F172" i="1"/>
  <c r="AT147" i="1"/>
  <c r="CA107" i="1"/>
  <c r="AR115" i="1"/>
  <c r="AR26" i="1"/>
  <c r="F65" i="1"/>
  <c r="V18" i="1"/>
  <c r="F273" i="1"/>
  <c r="O107" i="1"/>
  <c r="F117" i="1"/>
  <c r="F103" i="1"/>
  <c r="AR69" i="1"/>
  <c r="T18" i="1"/>
  <c r="F271" i="1"/>
  <c r="AU107" i="1"/>
  <c r="F134" i="1"/>
  <c r="AU220" i="1"/>
  <c r="AW147" i="1"/>
  <c r="F160" i="1"/>
  <c r="AW69" i="1"/>
  <c r="F81" i="1"/>
  <c r="AS26" i="1"/>
  <c r="F54" i="1"/>
  <c r="AS220" i="1"/>
  <c r="O26" i="1"/>
  <c r="F39" i="1"/>
  <c r="O220" i="1"/>
  <c r="S22" i="1"/>
  <c r="S250" i="1"/>
  <c r="F235" i="1"/>
  <c r="J16" i="2" s="1"/>
  <c r="J18" i="2" s="1"/>
  <c r="AY69" i="1"/>
  <c r="F83" i="1"/>
  <c r="R22" i="1"/>
  <c r="F234" i="1"/>
  <c r="R250" i="1"/>
  <c r="W18" i="1"/>
  <c r="F274" i="1"/>
  <c r="AW26" i="1"/>
  <c r="F43" i="1"/>
  <c r="AW220" i="1"/>
  <c r="P22" i="1"/>
  <c r="F223" i="1"/>
  <c r="P250" i="1"/>
  <c r="O147" i="1"/>
  <c r="F156" i="1"/>
  <c r="CC69" i="1"/>
  <c r="AT75" i="1"/>
  <c r="AS147" i="1"/>
  <c r="F171" i="1"/>
  <c r="AZ18" i="1"/>
  <c r="F261" i="1"/>
  <c r="AQ18" i="1"/>
  <c r="F260" i="1"/>
  <c r="AY26" i="1"/>
  <c r="F45" i="1"/>
  <c r="AY220" i="1"/>
  <c r="AV26" i="1"/>
  <c r="F42" i="1"/>
  <c r="AV220" i="1"/>
  <c r="AS186" i="1"/>
  <c r="F207" i="1"/>
  <c r="AR186" i="1"/>
  <c r="F218" i="1"/>
  <c r="CA147" i="1"/>
  <c r="AR154" i="1"/>
  <c r="Y107" i="1"/>
  <c r="F142" i="1"/>
  <c r="Y220" i="1"/>
  <c r="O69" i="1"/>
  <c r="F77" i="1"/>
  <c r="F180" i="1"/>
  <c r="X147" i="1"/>
  <c r="F182" i="1" l="1"/>
  <c r="AR147" i="1"/>
  <c r="AV22" i="1"/>
  <c r="AV250" i="1"/>
  <c r="F225" i="1"/>
  <c r="F93" i="1"/>
  <c r="AT69" i="1"/>
  <c r="P18" i="1"/>
  <c r="F253" i="1"/>
  <c r="R18" i="1"/>
  <c r="F264" i="1"/>
  <c r="S18" i="1"/>
  <c r="F265" i="1"/>
  <c r="O22" i="1"/>
  <c r="F222" i="1"/>
  <c r="O250" i="1"/>
  <c r="AU22" i="1"/>
  <c r="F239" i="1"/>
  <c r="H16" i="2" s="1"/>
  <c r="H18" i="2" s="1"/>
  <c r="AU250" i="1"/>
  <c r="F143" i="1"/>
  <c r="AR107" i="1"/>
  <c r="AT220" i="1"/>
  <c r="AX18" i="1"/>
  <c r="F257" i="1"/>
  <c r="X18" i="1"/>
  <c r="F276" i="1"/>
  <c r="Y22" i="1"/>
  <c r="Y250" i="1"/>
  <c r="F247" i="1"/>
  <c r="AY22" i="1"/>
  <c r="F228" i="1"/>
  <c r="AY250" i="1"/>
  <c r="AW22" i="1"/>
  <c r="F226" i="1"/>
  <c r="AW250" i="1"/>
  <c r="AS22" i="1"/>
  <c r="F237" i="1"/>
  <c r="E16" i="2" s="1"/>
  <c r="AS250" i="1"/>
  <c r="AR220" i="1"/>
  <c r="AR22" i="1" l="1"/>
  <c r="F248" i="1"/>
  <c r="AR250" i="1"/>
  <c r="E18" i="2"/>
  <c r="AW18" i="1"/>
  <c r="F256" i="1"/>
  <c r="AU18" i="1"/>
  <c r="F269" i="1"/>
  <c r="AS18" i="1"/>
  <c r="F267" i="1"/>
  <c r="AY18" i="1"/>
  <c r="F258" i="1"/>
  <c r="Y18" i="1"/>
  <c r="F277" i="1"/>
  <c r="AT22" i="1"/>
  <c r="F238" i="1"/>
  <c r="F16" i="2" s="1"/>
  <c r="F18" i="2" s="1"/>
  <c r="AT250" i="1"/>
  <c r="O18" i="1"/>
  <c r="F252" i="1"/>
  <c r="AV18" i="1"/>
  <c r="F255" i="1"/>
  <c r="AR18" i="1" l="1"/>
  <c r="F278" i="1"/>
  <c r="F279" i="1" s="1"/>
  <c r="AT18" i="1"/>
  <c r="F268" i="1"/>
  <c r="I16" i="2"/>
  <c r="I18" i="2" s="1"/>
  <c r="F281" i="1" l="1"/>
  <c r="F280" i="1"/>
</calcChain>
</file>

<file path=xl/sharedStrings.xml><?xml version="1.0" encoding="utf-8"?>
<sst xmlns="http://schemas.openxmlformats.org/spreadsheetml/2006/main" count="2421" uniqueCount="345">
  <si>
    <t>Smeta.RU  (495) 974-1589</t>
  </si>
  <si>
    <t>_PS_</t>
  </si>
  <si>
    <t>Smeta.RU</t>
  </si>
  <si>
    <t/>
  </si>
  <si>
    <t>КЛ-0,4 от ул.Центральная, д.6 до ул.Центральная, д.8 - Корректировка-без 1,15</t>
  </si>
  <si>
    <t>Алиева И.Е.</t>
  </si>
  <si>
    <t>Зам.начальника ПТО</t>
  </si>
  <si>
    <t>Алексеев Е.В.</t>
  </si>
  <si>
    <t>Главный инженер</t>
  </si>
  <si>
    <t>А.П. Воробьева</t>
  </si>
  <si>
    <t>Директор</t>
  </si>
  <si>
    <t>МУП "Троицкая электросеть"</t>
  </si>
  <si>
    <t>МУП "Троицкая электросеть", г. Москва, г. Троицк, ул. Лесная, д. 6.</t>
  </si>
  <si>
    <t>Сметные нормы списания</t>
  </si>
  <si>
    <t>Коды ОКП для ТСН-2001</t>
  </si>
  <si>
    <t>ТСН-2001 Ремонт</t>
  </si>
  <si>
    <t>Типовой расчет для ТСН-2001 МЦЦС, Новая методика с выпуска доп. 43 (Ремонт), Доп 57</t>
  </si>
  <si>
    <t>ТСН-2001</t>
  </si>
  <si>
    <t>Поправки для ТСН-2001 от 06.05.2019 г.</t>
  </si>
  <si>
    <t>Новая локальная смета</t>
  </si>
  <si>
    <t>КЛ-0,4 от ул. Центральная, д.6 до ул.Центральная, д.8.</t>
  </si>
  <si>
    <t>Новый раздел</t>
  </si>
  <si>
    <t>Земляные работы.</t>
  </si>
  <si>
    <t>1</t>
  </si>
  <si>
    <t>3.1-51-1</t>
  </si>
  <si>
    <t>РАЗРАБОТКА ГРУНТА ВРУЧНУЮ В ТРАНШЕЯХ ГЛУБИНОЙ ДО 2 М БЕЗ КРЕПЛЕНИЙ С ОТКОСАМИ ГРУППА ГРУНТОВ 1-3</t>
  </si>
  <si>
    <t>100 м3</t>
  </si>
  <si>
    <t>ТСН-2001.3. База. Сб.1, т.51, поз.1</t>
  </si>
  <si>
    <t>Строительные работы</t>
  </si>
  <si>
    <t>ТСН-2001.3-1. 1-49...1-55</t>
  </si>
  <si>
    <t>ТСН-2001.3-1-15</t>
  </si>
  <si>
    <t>2</t>
  </si>
  <si>
    <t>3.1-53-1</t>
  </si>
  <si>
    <t>ЗАСЫПКА ВРУЧНУЮ ТРАНШЕЙ, ПАЗУХ КОТЛОВАНОВ И ЯМ ГРУППА ГРУНТОВ 1-3</t>
  </si>
  <si>
    <t>ТСН-2001.3. База. Сб.1, т.53, поз.1</t>
  </si>
  <si>
    <t>3</t>
  </si>
  <si>
    <t>3.1-58-1</t>
  </si>
  <si>
    <t>ВОДООТЛИВ ИЗ ТРАНШЕЙ</t>
  </si>
  <si>
    <t>ТСН-2001.3. База. Сб.1, т.58, поз.1</t>
  </si>
  <si>
    <t>ТСН-2001.3-1. 1-56...1-58</t>
  </si>
  <si>
    <t>ТСН-2001.3-1-16</t>
  </si>
  <si>
    <t>4</t>
  </si>
  <si>
    <t>4.8-74-1</t>
  </si>
  <si>
    <t>УСТРОЙСТВО ПОСТЕЛИ: ПРИ ОДНОМ КАБЕЛЕ В ТРАНШЕЕ</t>
  </si>
  <si>
    <t>100 м</t>
  </si>
  <si>
    <t>ТСН-2001.4. База. Сб.8, т.74, поз.1</t>
  </si>
  <si>
    <t>Монтаж оборудования</t>
  </si>
  <si>
    <t>ТСН-2001.4-8. 8-73...8-80</t>
  </si>
  <si>
    <t>ТСН-2001.4-8-3</t>
  </si>
  <si>
    <t>5</t>
  </si>
  <si>
    <t>3.34-18-1</t>
  </si>
  <si>
    <t>УСТРОЙСТВО ТРУБОПРОВОДОВ ИЗ ПОЛИЭТИЛЕНОВЫХ ТРУБ ДО 2-Х ОТВЕРСТИЙ</t>
  </si>
  <si>
    <t>км</t>
  </si>
  <si>
    <t>ТСН-2001.3. База. Сб.34, т.18, поз.1</t>
  </si>
  <si>
    <t>ТСН-2001.3-34. 34-17...34-28</t>
  </si>
  <si>
    <t>ТСН-2001.3-34-6</t>
  </si>
  <si>
    <t>6</t>
  </si>
  <si>
    <t>4.8-75-6</t>
  </si>
  <si>
    <t>ПОКРЫТИЕ КАБЕЛЕЙ, ПРОЛОЖЕННЫХ В ТРАНШЕЕ, ПЛИТАМИ ИЗ ПОЛИМЕРНАПОЛНЕННЫХ МАТЕРИАЛОВ В ОДИН РЯД РАЗМЕРОМ 48Х36 СМ, РАСПОЛОЖЕННЫМИ ВДОЛЬ КАБЕЛЬНОЙ ЛИНИИ</t>
  </si>
  <si>
    <t>ТСН-2001.4. Доп.19. Сб.8, т.75, поз.6</t>
  </si>
  <si>
    <t>ТСН-2001.4-8. 8-75-5…8-75-11 (доп. 19)</t>
  </si>
  <si>
    <t>ТСН-2001.4-8-26</t>
  </si>
  <si>
    <t>6,1</t>
  </si>
  <si>
    <t>1.1-1-3459</t>
  </si>
  <si>
    <t>ПЛИТЫ ИЗ ПОЛИМЕРНАПОЛНЕННОЙ КОМПОЗИЦИИ НА ОСНОВЕ ВОЛЛАСТОНИТА ДЛЯ ЗАКРЫТИЯ КАБЕЛЯ ПЗК 48Х36</t>
  </si>
  <si>
    <t>шт.</t>
  </si>
  <si>
    <t>ТСН-2001.1. Доп.19. Р.1, о.1, поз.3459</t>
  </si>
  <si>
    <t>7</t>
  </si>
  <si>
    <t>3.1-29-2</t>
  </si>
  <si>
    <t>УПЛОТНЕНИЕ ГРУНТА ПНЕВМАТИЧЕСКИМИ ТРАМБОВКАМИ ГРУППА ГРУНТОВ 3,4    (ПРИМЕЧАНИЕ: СП 76.13330.2016, п.6.4.1.31)</t>
  </si>
  <si>
    <t>ТСН-2001.3. База. Сб.1, т.29, поз.2</t>
  </si>
  <si>
    <t>ТСН-2001.3-1. 1-29...1-33</t>
  </si>
  <si>
    <t>ТСН-2001.3-1-9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</si>
  <si>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</si>
  <si>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</si>
  <si>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</si>
  <si>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</si>
  <si>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</si>
  <si>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</si>
  <si>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</si>
  <si>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</si>
  <si>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</si>
  <si>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</si>
  <si>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</si>
  <si>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</si>
  <si>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</si>
  <si>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</si>
  <si>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</si>
  <si>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</si>
  <si>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</si>
  <si>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</si>
  <si>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</si>
  <si>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</si>
  <si>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</si>
  <si>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</si>
  <si>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</si>
  <si>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</si>
  <si>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</si>
  <si>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</si>
  <si>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</si>
  <si>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</si>
  <si>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</si>
  <si>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</si>
  <si>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</si>
  <si>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</si>
  <si>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</si>
  <si>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</si>
  <si>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</si>
  <si>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</si>
  <si>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</si>
  <si>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</si>
  <si>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</si>
  <si>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</si>
  <si>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</si>
  <si>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</si>
  <si>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</si>
  <si>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</si>
  <si>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</si>
  <si>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</si>
  <si>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Перевозка</t>
  </si>
  <si>
    <t>Перевозка грузов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</si>
  <si>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</si>
  <si>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</si>
  <si>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</si>
  <si>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</si>
  <si>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</si>
  <si>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</si>
  <si>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Электромонтажные работы</t>
  </si>
  <si>
    <t>8</t>
  </si>
  <si>
    <t>4.8-73-4</t>
  </si>
  <si>
    <t>КАБЕЛИ ДО 35 КВ В ГОТОВЫХ ТРАНШЕЯХ БЕЗ ПОКРЫТИЙ, КАБЕЛЬ МАССОЙ: ДО 6 КГ</t>
  </si>
  <si>
    <t>ТСН-2001.4. База. Сб.8, т.73, поз.4</t>
  </si>
  <si>
    <t>9</t>
  </si>
  <si>
    <t>4.8-80-4</t>
  </si>
  <si>
    <t>КАБЕЛИ ДО 35 КВ В ПРОЛОЖЕННЫХ ТРУБАХ, БЛОКАХ И КОРОБАХ, КАБЕЛЬ, МАССА 1 М: ДО 6 КГ</t>
  </si>
  <si>
    <t>ТСН-2001.4. База. Сб.8, т.80, поз.4</t>
  </si>
  <si>
    <t>10</t>
  </si>
  <si>
    <t>4.8-316-1</t>
  </si>
  <si>
    <t>МУФТЫ КОНЦЕВЫЕ ТЕРМОУСАЖИВАЕМЫЕ ДЛЯ 5-ТИ ЖИЛЬНОГО КАБЕЛЯ С ПЛАСТМАССОВОЙ, РЕЗИНОВОЙ И БУМАЖНОЙ ИЗОЛЯЦИЕЙ, НАПРЯЖЕНИЕМ ДО 1 КВ, СЕЧЕНИЕ ОДНОЙ ЖИЛЫ ОТ 70 ДО 120 ММ2</t>
  </si>
  <si>
    <t>ТСН-2001.4. Доп.55. Сб.8, т.316, поз.1</t>
  </si>
  <si>
    <t>ТСН-2001.4-8. 8-291...292 (доп. 24)</t>
  </si>
  <si>
    <t>ТСН-2001.4-8-29</t>
  </si>
  <si>
    <t>Пуско-наладочные работы</t>
  </si>
  <si>
    <t>11</t>
  </si>
  <si>
    <t>5.1-158-1</t>
  </si>
  <si>
    <t>ФАЗИРОВКА ЭЛЕКТРИЧЕСКОЙ ЛИНИИ ИЛИ ТРАНСФОРМАТОРА С СЕТЬЮ НАПРЯЖЕНИЕМ ДО 1 КВ</t>
  </si>
  <si>
    <t>фазировка</t>
  </si>
  <si>
    <t>ТСН-2001.5. База. Сб.1, т.158, поз.1</t>
  </si>
  <si>
    <t>)*1,3)*0,8</t>
  </si>
  <si>
    <t>Пусконаладочные работы</t>
  </si>
  <si>
    <t>ТСН-2001.5-1. 1-1...1-189</t>
  </si>
  <si>
    <t>ТСН-2001.5-1-1</t>
  </si>
  <si>
    <t>Поправка: ТСН-2001.5. р2. тб1. п. 5  Поправка: ТСН-2001.5. р2. п.2.5</t>
  </si>
  <si>
    <t>12</t>
  </si>
  <si>
    <t>5.1-162-1</t>
  </si>
  <si>
    <t>измерение</t>
  </si>
  <si>
    <t>ТСН-2001.5. База. Сб.1, т.162, поз.1</t>
  </si>
  <si>
    <t>13</t>
  </si>
  <si>
    <t>5.1-151-1</t>
  </si>
  <si>
    <t>ИЗМЕРЕНИЕ СОПРОТИВЛЕНИЯ РАСТЕКАНИЮ ТОКА ЗАЗЕМЛИТЕЛЯ</t>
  </si>
  <si>
    <t>ТСН-2001.5. База. Сб.1, т.151, поз.1</t>
  </si>
  <si>
    <t>14</t>
  </si>
  <si>
    <t>5.1-152-1</t>
  </si>
  <si>
    <t>ПРОВЕРКА НАЛИЧИЯ ЦЕПИ МЕЖДУ ЗАЗЕМЛИТЕЛЯМИ И ЗАЗЕМЛЕННЫМИ ЭЛЕМЕНТАМИ</t>
  </si>
  <si>
    <t>точка</t>
  </si>
  <si>
    <t>ТСН-2001.5. База. Сб.1, т.152, поз.1</t>
  </si>
  <si>
    <t>15</t>
  </si>
  <si>
    <t>5.1-154-1</t>
  </si>
  <si>
    <t>ЗАМЕР ПОЛНОГО СОПРОТИВЛЕНИЯ ЦЕПИ "ФАЗА-НУЛЬ" (ПРИМЕЧАНИЕ:  испытывается концевая муфта)</t>
  </si>
  <si>
    <t>токоприемник</t>
  </si>
  <si>
    <t>ТСН-2001.5. База. Сб.1, т.154, поз.1</t>
  </si>
  <si>
    <t>Материалы, не учтенные ценником.</t>
  </si>
  <si>
    <t>16</t>
  </si>
  <si>
    <t>1.23-7-217</t>
  </si>
  <si>
    <t>КАБЕЛИ СИЛОВЫЕ С ПОЛИВИНИЛХЛОРИДНОЙ ИЗОЛЯЦИЕЙ, БРОНИРОВАННЫЕ СТАЛЬНЫМИ ЛЕНТАМИ, В ШЛАНГЕ ИЗ ПОЛИВИНИЛХЛОРИДНОГО ПЛАСТИКАТА, МАРКА АВББШВ, НАПРЯЖЕНИЕ 1000 В, ЧИСЛО ЖИЛ И СЕЧЕНИЕ 4Х120 ММ2</t>
  </si>
  <si>
    <t>ТСН-2001.1. База. Р.23, о.7, поз.217</t>
  </si>
  <si>
    <t>Материалы монтажные</t>
  </si>
  <si>
    <t>ТСН-2001.1 Материалы монтажные</t>
  </si>
  <si>
    <t>ТСН-2001.1-2</t>
  </si>
  <si>
    <t>17</t>
  </si>
  <si>
    <t>1.21-5-281</t>
  </si>
  <si>
    <t>МУФТЫ КОНЦЕВЫЕ ТЕРМОУСАЖИВАЕМЫЕ ВНУТРЕННЕЙ УСТАНОВКИ ДЛЯ СИЛОВЫХ КАБЕЛЕЙ НА НАПРЯЖЕНИЕ 1 КВ, БЕЗ НАКОНЕЧНИКОВ, ТИП 4КВТП-1-120, СЕЧЕНИЕ ЖИЛ 70-120 ММ2</t>
  </si>
  <si>
    <t>компл.</t>
  </si>
  <si>
    <t>ТСН-2001.1. База. Р.21, о.5, поз.281</t>
  </si>
  <si>
    <t>18</t>
  </si>
  <si>
    <t>1.1-1-766</t>
  </si>
  <si>
    <t>ПЕСОК ДЛЯ СТРОИТЕЛЬНЫХ РАБОТ, РЯДОВОЙ  (ПРИМЕЧАНИЕ: Объем песка Х коэф.1,1 - 1,15 на трамбовку)</t>
  </si>
  <si>
    <t>м3</t>
  </si>
  <si>
    <t>ТСН-2001.1. База. Р.1, о.1, поз.766</t>
  </si>
  <si>
    <t>Материалы строительные</t>
  </si>
  <si>
    <t>ТСН-2001.1 Материалы строительные</t>
  </si>
  <si>
    <t>ТСН-2001.1-1</t>
  </si>
  <si>
    <t>19</t>
  </si>
  <si>
    <t>1.12-5-645</t>
  </si>
  <si>
    <t>ТРУБЫ НАПОРНЫЕ ИЗ ПОЛИЭТИЛЕНА (ПЭ-100) С-ОБРАЗНОЙ ФОРМЫ ДЛЯ БЕСТРАНШЕЙНОГО ВОССТАНОВЛЕНИЯ ТРУБОПРОВОДОВ SDR 41 (1 МПА), ДИАМЕТР 150 ММ, ТОЛЩИНА СТЕНКИ 3,7 ММ</t>
  </si>
  <si>
    <t>м</t>
  </si>
  <si>
    <t>ТСН-2001.1. Доп.28. Р.12, о.5, поз.645</t>
  </si>
  <si>
    <t>Прочие затраты.</t>
  </si>
  <si>
    <t>20</t>
  </si>
  <si>
    <t>6.69-19-1</t>
  </si>
  <si>
    <t>ПОГРУЗКА И ВЫГРУЗКА ВРУЧНУЮ СТРОИТЕЛЬНОГО МУСОРА НА ТРАНСПОРТНЫЕ СРЕДСТВА</t>
  </si>
  <si>
    <t>т</t>
  </si>
  <si>
    <t>ТСН-2001.6. База. Сб.69, т.19, поз.1</t>
  </si>
  <si>
    <t>)*1,2</t>
  </si>
  <si>
    <t>Ремонтно-строительные работы</t>
  </si>
  <si>
    <t>ТСН-2001.6-69. 69-1...69-49</t>
  </si>
  <si>
    <t>ТСН-2001.6-69-1</t>
  </si>
  <si>
    <t>Поправка: ТСН-2001.6. прил.2. п.3</t>
  </si>
  <si>
    <t>Итого</t>
  </si>
  <si>
    <t>НДС</t>
  </si>
  <si>
    <t>НДС 20%</t>
  </si>
  <si>
    <t>Итого с НДС</t>
  </si>
  <si>
    <t>Уровень цен</t>
  </si>
  <si>
    <t>Индекс 1</t>
  </si>
  <si>
    <t>ТСН-2001 МЦЦС  ремонт</t>
  </si>
  <si>
    <t>171</t>
  </si>
  <si>
    <t>_OBSM_</t>
  </si>
  <si>
    <t>9999990008</t>
  </si>
  <si>
    <t>ТРУДОЗАТРАТЫ РАБОЧИХ (ЭСН)</t>
  </si>
  <si>
    <t>чел.-ч.</t>
  </si>
  <si>
    <t>2.1-11-1</t>
  </si>
  <si>
    <t>ТСН-2001.2. База. п.1-11-1 (110003)</t>
  </si>
  <si>
    <t>НАСОСЫ ДЛЯ ВОДОПОНИЖЕНИЯ И ВОДООТЛИВА, МОЩНОСТЬ ДО 4 КВТ</t>
  </si>
  <si>
    <t>маш.-ч</t>
  </si>
  <si>
    <t>0.0-0-0</t>
  </si>
  <si>
    <t>СТОИМОСТЬ ПРОЧИХ МАТЕРИАЛОВ (ЭСН)</t>
  </si>
  <si>
    <t>руб.</t>
  </si>
  <si>
    <t>2.1-10-5</t>
  </si>
  <si>
    <t>ТСН-2001.2. Доп.46. п.1-10-5 (101002)</t>
  </si>
  <si>
    <t>КОМПРЕССОРЫ ПРИЦЕПНЫЕ С  ДВИГАТЕЛЕМ ВНУТРЕННЕГО СГОРАНИЯ, ПРОИЗВОДИТЕЛЬНОСТЬ ДО 5 М3/МИН, МОЩНОСТЬ ДВИГАТЕЛЯ ДО 29 КВТ (39,4 Л.С.)</t>
  </si>
  <si>
    <t>2.1-30-1</t>
  </si>
  <si>
    <t>ТСН-2001.2. База. п.1-30-1 (301201)</t>
  </si>
  <si>
    <t>ТРАМБОВКИ ПНЕВМАТИЧЕСКИЕ</t>
  </si>
  <si>
    <t>2248115000</t>
  </si>
  <si>
    <t>ТРУБОПРОВОДЫ ДЛЯ ВНУТРЕННЕЙ КАНАЛИЗАЦИИ ИЗ ПОЛИЭТИЛЕНОВЫХ ТРУБ</t>
  </si>
  <si>
    <t>5716191000</t>
  </si>
  <si>
    <t>ПЛИТЫ ПЗК 48Х36, ДЛЯ ЗАЩИТЫ КАБЕЛЬНЫХ ЛИНИЙ</t>
  </si>
  <si>
    <t>Поправка: ТСН-2001.5. р2. тб1. п. 5  Наименование: В электроустановках, находящихся под напряжением: с оформлением наряда-допуска  Поправка: ТСН-2001.5. р2. п.2.5  Наименование: В случае, если монтажные и пусконаладочные работы по какому-либо оборудованию выполняются одним и тем же звеном (бригадой), либо если они производятся при техническом руководстве персонала предприятий-изготовителей или фирм-поставщиков оборудования.</t>
  </si>
  <si>
    <t>ИЗМЕРЕНИЕ СОПРОТИВЛЕНИЯ ИЗОЛЯЦИИ МЕГАОММЕТРОМ КАБЕЛЬНЫХ И ДРУГИХ ЛИНИЙ НАПРЯЖЕНИЕМ ДО 1 КВ, ПРЕДНАЗНАЧЕННЫХ ДЛЯ ПЕРЕДАЧИ ЭЛЕКТРОЭНЕРГИИ К РАСПРЕДЕЛИТЕЛЬНЫМ УСТРОЙСТВАМ, ЩИТАМ, ШКАФАМ И КОММУТАЦИОННЫМ АППАРАТАМ  (ПРИМЕЧАНИЕ: К=1,3 - для 4-х проводной линии)</t>
  </si>
  <si>
    <t>Поправка: ТСН-2001.6. прил.2. п.3  Наименование: При выполнении работ в охранной зоне воздушных линий электропередач, в местах прохода коммуникаций и предметов, находящихся под напряжением (в случаях, когда полное снятие напряжения по производственным условиям невозможно), если это связано с ограничением действий рабочих специальными требованиями техники безопасности</t>
  </si>
  <si>
    <t>"СОГЛАСОВАНО"</t>
  </si>
  <si>
    <t>"УТВЕРЖДАЮ"</t>
  </si>
  <si>
    <t>Форма № 1б</t>
  </si>
  <si>
    <t>"_____"________________ 2021 г.</t>
  </si>
  <si>
    <t>Директор МУП "Троицкая электросеть"</t>
  </si>
  <si>
    <t>(локальный сметный расчет)</t>
  </si>
  <si>
    <t>(наименование работ и затрат, наименование объекта)</t>
  </si>
  <si>
    <t>базовая    цена</t>
  </si>
  <si>
    <t>текущая   цена</t>
  </si>
  <si>
    <t>Сметная стоимость</t>
  </si>
  <si>
    <t>Монтажные работы</t>
  </si>
  <si>
    <t>Оборудование</t>
  </si>
  <si>
    <t>Прочие работы</t>
  </si>
  <si>
    <t>Средства на оплату труда</t>
  </si>
  <si>
    <t xml:space="preserve">Кроме того: </t>
  </si>
  <si>
    <t>№№ п/п</t>
  </si>
  <si>
    <t>Шифр расценки и коды ресурсов</t>
  </si>
  <si>
    <t>Наименование работ и затрат</t>
  </si>
  <si>
    <t>Единица измерения</t>
  </si>
  <si>
    <t>Кол-во
единиц</t>
  </si>
  <si>
    <t>Цена на
ед. изм.,
руб.</t>
  </si>
  <si>
    <t>Попра-
вочные
коэфф.</t>
  </si>
  <si>
    <t>Коэфф.
зимних
удоро-
жаний</t>
  </si>
  <si>
    <t>ВСЕГО в
базисном
уровне цен,
руб.</t>
  </si>
  <si>
    <t>Коэфф.
пере-
счета и
нормы
НР и СП</t>
  </si>
  <si>
    <t>Всего в
текущем
уровне цен,
руб.</t>
  </si>
  <si>
    <t>Составлен(а) в уровне текущих (прогнозных) цен ТСН-2001 МЦЦС  ремонт №171 декабрь 2020 года</t>
  </si>
  <si>
    <t>ЗП</t>
  </si>
  <si>
    <t>НР от ЗП</t>
  </si>
  <si>
    <t>%</t>
  </si>
  <si>
    <t>СП от ЗП</t>
  </si>
  <si>
    <t>ЗТР</t>
  </si>
  <si>
    <t>чел-ч</t>
  </si>
  <si>
    <t>ЭМ</t>
  </si>
  <si>
    <t>в т.ч. ЗПМ</t>
  </si>
  <si>
    <t>НР и СП от ЗПМ</t>
  </si>
  <si>
    <t>МР</t>
  </si>
  <si>
    <t xml:space="preserve">   Итого по ТСН-2001.16</t>
  </si>
  <si>
    <t xml:space="preserve">   Итого возвратных сумм</t>
  </si>
  <si>
    <t xml:space="preserve"> тыс.руб.</t>
  </si>
  <si>
    <t xml:space="preserve">Составил   </t>
  </si>
  <si>
    <t>[должность,подпись(инициалы,фамилия)]</t>
  </si>
  <si>
    <t xml:space="preserve">Проверил   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</si>
  <si>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</si>
  <si>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</si>
  <si>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</si>
  <si>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</si>
  <si>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</si>
  <si>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</si>
  <si>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</t>
  </si>
  <si>
    <t>по ОКПО</t>
  </si>
  <si>
    <t>организация, адрес, телефон, факс</t>
  </si>
  <si>
    <t>Заказчик</t>
  </si>
  <si>
    <t>Подрядчик</t>
  </si>
  <si>
    <t>Стройка</t>
  </si>
  <si>
    <t>наименование, адрес</t>
  </si>
  <si>
    <t>Объект</t>
  </si>
  <si>
    <t>наименование</t>
  </si>
  <si>
    <t xml:space="preserve">Вид деятельности по ОКДП  </t>
  </si>
  <si>
    <t xml:space="preserve">Договор подряда  </t>
  </si>
  <si>
    <t>номер</t>
  </si>
  <si>
    <t>дата</t>
  </si>
  <si>
    <t xml:space="preserve">Вид операции  </t>
  </si>
  <si>
    <t>Номер
документа</t>
  </si>
  <si>
    <t>Дата
составления</t>
  </si>
  <si>
    <t>Отчетный период</t>
  </si>
  <si>
    <t>с</t>
  </si>
  <si>
    <t>по</t>
  </si>
  <si>
    <t>AKT</t>
  </si>
  <si>
    <t>О ПРИЕМКЕ ВЫПОЛНЕННЫХ РАБОТ</t>
  </si>
  <si>
    <t>Сметная (договорная) стоимость в соответствии с договором подряда (субподряда)</t>
  </si>
  <si>
    <t xml:space="preserve"> тыс.руб</t>
  </si>
  <si>
    <t>Номер</t>
  </si>
  <si>
    <t>п/п</t>
  </si>
  <si>
    <t>поз. по сме-те</t>
  </si>
  <si>
    <t xml:space="preserve">Сдал   </t>
  </si>
  <si>
    <t xml:space="preserve">Принял   </t>
  </si>
  <si>
    <t>Унифицированная форма № КС-3</t>
  </si>
  <si>
    <t>Коды</t>
  </si>
  <si>
    <t xml:space="preserve">Инвестор </t>
  </si>
  <si>
    <t xml:space="preserve">Заказчик (генподрядчик) </t>
  </si>
  <si>
    <t xml:space="preserve">Подрядчик (субподрядчик) </t>
  </si>
  <si>
    <t xml:space="preserve">Стройка </t>
  </si>
  <si>
    <t>Вид деятельности  по ОКДП</t>
  </si>
  <si>
    <t xml:space="preserve">Договор подряда (контракт) </t>
  </si>
  <si>
    <t>Вид операции</t>
  </si>
  <si>
    <t>Номер документа</t>
  </si>
  <si>
    <t>Дата составления</t>
  </si>
  <si>
    <t>СПРАВКА</t>
  </si>
  <si>
    <t>СТОИМОСТИ ВЫПОЛНЕННЫХ РАБОТ И ЗАТРАТ</t>
  </si>
  <si>
    <t>№ п/п</t>
  </si>
  <si>
    <t>Наименование пусковых комплексов, объектов, видов работ, оборудования, затрат</t>
  </si>
  <si>
    <t>Стоимость выполненных работ и затрат</t>
  </si>
  <si>
    <t>с начала проведения работ</t>
  </si>
  <si>
    <t>с начала года по отчетный период включительно</t>
  </si>
  <si>
    <t>в том числе за отчетный месяц</t>
  </si>
  <si>
    <t>Всего работ и затрат, включаемых в стоимость</t>
  </si>
  <si>
    <t>В том числе:</t>
  </si>
  <si>
    <t xml:space="preserve">Сумма НДС </t>
  </si>
  <si>
    <t xml:space="preserve">Всего с учетом НДС </t>
  </si>
  <si>
    <t>должность</t>
  </si>
  <si>
    <t>подпись</t>
  </si>
  <si>
    <t>расшифровка подпись</t>
  </si>
  <si>
    <t>МП</t>
  </si>
  <si>
    <t>КЛ-0,4 от ул.Центральная, д.6 до ул.Центральная, д.8.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</si>
</sst>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\ #,##0.00"/>
    <numFmt numFmtId="165" formatCode="#,##0.00####;[Red]\-\ #,##0.00####"/>
  </numFmts>
  <fonts count="18" x14ac:knownFonts="1">
    <font>
      <sz val="10"/>
      <name val="Arial"/>
      <charset val="204"/>
    </font>
    <font>
      <b/>
      <sz val="10"/>
      <color indexed="12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b/>
      <sz val="10"/>
      <color indexed="14"/>
      <name val="Arial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i/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1" fillId="0" borderId="0" xfId="0" applyFont="1"/>
    <xf numFmtId="0" fontId="12" fillId="0" borderId="0" xfId="0" applyFont="1" applyAlignment="1"/>
    <xf numFmtId="0" fontId="11" fillId="0" borderId="0" xfId="0" applyFont="1" applyAlignment="1"/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horizontal="center" wrapText="1"/>
    </xf>
    <xf numFmtId="164" fontId="11" fillId="0" borderId="0" xfId="0" applyNumberFormat="1" applyFont="1"/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6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165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0" fontId="9" fillId="0" borderId="0" xfId="0" applyFont="1" applyAlignment="1">
      <alignment vertical="top" wrapText="1"/>
    </xf>
    <xf numFmtId="164" fontId="0" fillId="0" borderId="0" xfId="0" applyNumberFormat="1"/>
    <xf numFmtId="0" fontId="0" fillId="0" borderId="5" xfId="0" applyBorder="1"/>
    <xf numFmtId="164" fontId="16" fillId="0" borderId="0" xfId="0" applyNumberFormat="1" applyFont="1" applyAlignment="1">
      <alignment horizontal="right"/>
    </xf>
    <xf numFmtId="0" fontId="11" fillId="0" borderId="0" xfId="0" quotePrefix="1" applyFont="1" applyAlignment="1">
      <alignment horizontal="right" wrapText="1"/>
    </xf>
    <xf numFmtId="0" fontId="17" fillId="0" borderId="0" xfId="0" applyFont="1"/>
    <xf numFmtId="0" fontId="17" fillId="0" borderId="0" xfId="0" applyFont="1" applyAlignment="1">
      <alignment horizontal="left" wrapText="1"/>
    </xf>
    <xf numFmtId="0" fontId="11" fillId="0" borderId="1" xfId="0" applyFont="1" applyBorder="1"/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14" fontId="9" fillId="0" borderId="3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9" xfId="0" applyFont="1" applyBorder="1" applyAlignment="1">
      <alignment horizontal="center"/>
    </xf>
    <xf numFmtId="14" fontId="11" fillId="0" borderId="0" xfId="0" applyNumberFormat="1" applyFont="1"/>
    <xf numFmtId="0" fontId="11" fillId="0" borderId="7" xfId="0" applyFont="1" applyBorder="1" applyAlignment="1">
      <alignment horizontal="center" vertical="center" wrapText="1" shrinkToFit="1"/>
    </xf>
    <xf numFmtId="0" fontId="11" fillId="0" borderId="7" xfId="0" applyFont="1" applyBorder="1" applyAlignment="1">
      <alignment horizontal="center" wrapText="1" shrinkToFit="1"/>
    </xf>
    <xf numFmtId="0" fontId="11" fillId="0" borderId="8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16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/>
    </xf>
    <xf numFmtId="164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164" fontId="17" fillId="0" borderId="5" xfId="0" applyNumberFormat="1" applyFont="1" applyBorder="1" applyAlignment="1">
      <alignment horizontal="right"/>
    </xf>
    <xf numFmtId="0" fontId="11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11" fillId="0" borderId="1" xfId="0" applyFont="1" applyBorder="1" applyAlignment="1">
      <alignment horizontal="left" wrapText="1"/>
    </xf>
    <xf numFmtId="0" fontId="11" fillId="0" borderId="0" xfId="0" applyFont="1" applyFill="1" applyAlignment="1">
      <alignment horizontal="left"/>
    </xf>
    <xf numFmtId="0" fontId="10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0" fillId="0" borderId="0" xfId="0" applyAlignment="1"/>
    <xf numFmtId="0" fontId="11" fillId="0" borderId="0" xfId="0" applyFont="1" applyBorder="1" applyAlignment="1">
      <alignment horizontal="left" wrapText="1"/>
    </xf>
    <xf numFmtId="0" fontId="11" fillId="0" borderId="0" xfId="0" applyFont="1" applyAlignment="1">
      <alignment horizontal="right"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64" fontId="17" fillId="0" borderId="1" xfId="0" applyNumberFormat="1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0" fontId="11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14" fontId="11" fillId="0" borderId="3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1" fillId="0" borderId="3" xfId="0" quotePrefix="1" applyFont="1" applyBorder="1" applyAlignment="1">
      <alignment horizontal="center"/>
    </xf>
    <xf numFmtId="0" fontId="11" fillId="0" borderId="0" xfId="0" applyFont="1" applyAlignment="1">
      <alignment horizontal="right" vertical="center" shrinkToFit="1"/>
    </xf>
    <xf numFmtId="0" fontId="11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top" shrinkToFit="1"/>
    </xf>
    <xf numFmtId="0" fontId="11" fillId="0" borderId="8" xfId="0" applyFont="1" applyBorder="1" applyAlignment="1">
      <alignment horizontal="justify" vertical="top" wrapText="1" shrinkToFit="1"/>
    </xf>
    <xf numFmtId="0" fontId="11" fillId="0" borderId="15" xfId="0" applyFont="1" applyBorder="1" applyAlignment="1">
      <alignment horizontal="justify" vertical="top" wrapText="1" shrinkToFit="1"/>
    </xf>
    <xf numFmtId="0" fontId="11" fillId="0" borderId="2" xfId="0" applyFont="1" applyBorder="1" applyAlignment="1">
      <alignment horizontal="justify" vertical="top" wrapText="1" shrinkToFit="1"/>
    </xf>
    <xf numFmtId="0" fontId="11" fillId="0" borderId="9" xfId="0" applyFont="1" applyBorder="1" applyAlignment="1">
      <alignment horizontal="justify" vertical="top" wrapText="1" shrinkToFit="1"/>
    </xf>
    <xf numFmtId="0" fontId="11" fillId="0" borderId="2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164" fontId="11" fillId="0" borderId="7" xfId="0" applyNumberFormat="1" applyFont="1" applyBorder="1" applyAlignment="1">
      <alignment horizontal="right"/>
    </xf>
    <xf numFmtId="0" fontId="11" fillId="0" borderId="0" xfId="0" applyFont="1" applyAlignment="1">
      <alignment horizontal="right" vertical="center" wrapText="1" shrinkToFit="1"/>
    </xf>
    <xf numFmtId="164" fontId="11" fillId="0" borderId="7" xfId="0" applyNumberFormat="1" applyFont="1" applyBorder="1" applyAlignment="1">
      <alignment horizontal="right" vertical="center" wrapText="1" shrinkToFit="1"/>
    </xf>
    <xf numFmtId="0" fontId="11" fillId="0" borderId="9" xfId="0" applyFont="1" applyBorder="1" applyAlignment="1">
      <alignment horizontal="right" vertical="center" wrapText="1" shrinkToFit="1"/>
    </xf>
    <xf numFmtId="164" fontId="11" fillId="0" borderId="8" xfId="0" applyNumberFormat="1" applyFont="1" applyBorder="1" applyAlignment="1">
      <alignment horizontal="right" vertical="center" wrapText="1" shrinkToFit="1"/>
    </xf>
    <xf numFmtId="0" fontId="11" fillId="0" borderId="16" xfId="0" applyFont="1" applyBorder="1" applyAlignment="1">
      <alignment horizontal="right" vertical="center" wrapText="1" shrinkToFit="1"/>
    </xf>
    <xf numFmtId="0" fontId="11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justify" vertical="top" wrapText="1" shrinkToFit="1"/>
    </xf>
    <xf numFmtId="164" fontId="11" fillId="0" borderId="7" xfId="0" applyNumberFormat="1" applyFont="1" applyBorder="1" applyAlignment="1">
      <alignment horizontal="right" wrapText="1" shrinkToFit="1"/>
    </xf>
    <xf numFmtId="0" fontId="11" fillId="0" borderId="2" xfId="0" applyFont="1" applyBorder="1" applyAlignment="1">
      <alignment horizontal="right" wrapText="1" shrinkToFit="1"/>
    </xf>
    <xf numFmtId="0" fontId="11" fillId="0" borderId="9" xfId="0" applyFont="1" applyBorder="1" applyAlignment="1">
      <alignment horizontal="right" wrapText="1" shrinkToFit="1"/>
    </xf>
    <xf numFmtId="0" fontId="11" fillId="0" borderId="7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wrapText="1" shrinkToFit="1"/>
    </xf>
    <xf numFmtId="0" fontId="11" fillId="0" borderId="9" xfId="0" applyFont="1" applyBorder="1" applyAlignment="1">
      <alignment horizontal="center" vertical="center" wrapText="1" shrinkToFit="1"/>
    </xf>
    <xf numFmtId="0" fontId="11" fillId="0" borderId="6" xfId="0" applyFont="1" applyBorder="1" applyAlignment="1">
      <alignment horizontal="center" vertical="center" wrapText="1" shrinkToFit="1"/>
    </xf>
    <xf numFmtId="0" fontId="11" fillId="0" borderId="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4" fontId="11" fillId="0" borderId="8" xfId="0" applyNumberFormat="1" applyFont="1" applyBorder="1" applyAlignment="1">
      <alignment horizontal="center"/>
    </xf>
    <xf numFmtId="14" fontId="11" fillId="0" borderId="16" xfId="0" applyNumberFormat="1" applyFont="1" applyBorder="1" applyAlignment="1">
      <alignment horizontal="center"/>
    </xf>
    <xf numFmtId="14" fontId="11" fillId="0" borderId="15" xfId="0" applyNumberFormat="1" applyFont="1" applyBorder="1" applyAlignment="1">
      <alignment horizontal="center"/>
    </xf>
    <xf numFmtId="0" fontId="11" fillId="0" borderId="8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14" fontId="11" fillId="0" borderId="7" xfId="0" applyNumberFormat="1" applyFont="1" applyBorder="1" applyAlignment="1">
      <alignment horizontal="center"/>
    </xf>
    <xf numFmtId="14" fontId="11" fillId="0" borderId="9" xfId="0" applyNumberFormat="1" applyFont="1" applyBorder="1" applyAlignment="1">
      <alignment horizontal="center"/>
    </xf>
    <xf numFmtId="0" fontId="11" fillId="0" borderId="8" xfId="0" applyFont="1" applyBorder="1"/>
    <xf numFmtId="0" fontId="11" fillId="0" borderId="16" xfId="0" applyFont="1" applyBorder="1"/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right"/>
    </xf>
    <xf numFmtId="0" fontId="11" fillId="0" borderId="1" xfId="0" applyFont="1" applyBorder="1"/>
    <xf numFmtId="0" fontId="11" fillId="0" borderId="1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164" fontId="17" fillId="0" borderId="0" xfId="0" applyNumberFormat="1" applyFont="1"/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15"/>
  <sheetViews>
    <sheetView tabSelected="1" zoomScaleNormal="100" workbookViewId="0">
      <selection activeCell="A12" sqref="A12:K12"/>
    </sheetView>
  </sheetViews>
  <sheetFormatPr defaultRowHeight="12.75" x14ac:dyDescent="0.2"/>
  <cols>
    <col min="1" max="1" width="5.7109375" customWidth="1"/>
    <col min="2" max="2" width="11.7109375" customWidth="1"/>
    <col min="3" max="3" width="40.7109375" customWidth="1"/>
    <col min="4" max="4" width="11.7109375" customWidth="1"/>
    <col min="5" max="5" width="8.140625" bestFit="1" customWidth="1"/>
    <col min="6" max="6" width="10.140625" bestFit="1" customWidth="1"/>
    <col min="7" max="7" width="8.7109375" bestFit="1" customWidth="1"/>
    <col min="8" max="8" width="8.28515625" bestFit="1" customWidth="1"/>
    <col min="9" max="9" width="9" bestFit="1" customWidth="1"/>
    <col min="10" max="10" width="9.140625" bestFit="1" customWidth="1"/>
    <col min="11" max="11" width="10.140625" bestFit="1" customWidth="1"/>
    <col min="14" max="36" width="0" hidden="1" customWidth="1"/>
    <col min="37" max="37" width="129.7109375" hidden="1" customWidth="1"/>
    <col min="38" max="38" width="96" hidden="1" customWidth="1"/>
    <col min="39" max="42" width="0" hidden="1" customWidth="1"/>
  </cols>
  <sheetData>
    <row r="1" spans="1:37" x14ac:dyDescent="0.2">
      <c r="A1" s="9" t="str">
        <f>Source!B1</f>
        <v>Smeta.RU  (495) 974-1589</v>
      </c>
    </row>
    <row r="2" spans="1:37" ht="14.25" x14ac:dyDescent="0.2">
      <c r="A2" s="10"/>
      <c r="B2" s="10"/>
      <c r="C2" s="10"/>
      <c r="D2" s="10"/>
      <c r="E2" s="10"/>
      <c r="F2" s="10"/>
      <c r="G2" s="10"/>
      <c r="H2" s="10"/>
      <c r="I2" s="10"/>
      <c r="J2" s="68" t="s">
        <v>242</v>
      </c>
      <c r="K2" s="68"/>
    </row>
    <row r="3" spans="1:37" ht="16.5" x14ac:dyDescent="0.25">
      <c r="A3" s="12"/>
      <c r="B3" s="71" t="s">
        <v>240</v>
      </c>
      <c r="C3" s="71"/>
      <c r="D3" s="71"/>
      <c r="E3" s="71"/>
      <c r="F3" s="11"/>
      <c r="G3" s="71" t="s">
        <v>241</v>
      </c>
      <c r="H3" s="71"/>
      <c r="I3" s="71"/>
      <c r="J3" s="71"/>
      <c r="K3" s="71"/>
    </row>
    <row r="4" spans="1:37" ht="14.25" x14ac:dyDescent="0.2">
      <c r="A4" s="11"/>
      <c r="B4" s="53"/>
      <c r="C4" s="53"/>
      <c r="D4" s="53"/>
      <c r="E4" s="53"/>
      <c r="F4" s="11"/>
      <c r="G4" s="53" t="s">
        <v>244</v>
      </c>
      <c r="H4" s="53"/>
      <c r="I4" s="53"/>
      <c r="J4" s="53"/>
      <c r="K4" s="53"/>
    </row>
    <row r="5" spans="1:37" ht="14.25" x14ac:dyDescent="0.2">
      <c r="A5" s="13"/>
      <c r="B5" s="13"/>
      <c r="C5" s="14"/>
      <c r="D5" s="14"/>
      <c r="E5" s="14"/>
      <c r="F5" s="11"/>
      <c r="G5" s="15"/>
      <c r="H5" s="14"/>
      <c r="I5" s="14"/>
      <c r="J5" s="14"/>
      <c r="K5" s="15"/>
    </row>
    <row r="6" spans="1:37" ht="14.25" x14ac:dyDescent="0.2">
      <c r="A6" s="15"/>
      <c r="B6" s="53" t="str">
        <f>CONCATENATE("______________________ ", IF(Source!AL12&lt;&gt;"", Source!AL12, ""))</f>
        <v xml:space="preserve">______________________ </v>
      </c>
      <c r="C6" s="53"/>
      <c r="D6" s="53"/>
      <c r="E6" s="53"/>
      <c r="F6" s="11"/>
      <c r="G6" s="53" t="str">
        <f>CONCATENATE("______________________ ", IF(Source!AH12&lt;&gt;"", Source!AH12, ""))</f>
        <v>______________________ А.П. Воробьева</v>
      </c>
      <c r="H6" s="53"/>
      <c r="I6" s="53"/>
      <c r="J6" s="53"/>
      <c r="K6" s="53"/>
    </row>
    <row r="7" spans="1:37" ht="24.75" customHeight="1" x14ac:dyDescent="0.2">
      <c r="A7" s="16"/>
      <c r="B7" s="67" t="s">
        <v>243</v>
      </c>
      <c r="C7" s="67"/>
      <c r="D7" s="67"/>
      <c r="E7" s="67"/>
      <c r="F7" s="11"/>
      <c r="G7" s="67" t="s">
        <v>243</v>
      </c>
      <c r="H7" s="67"/>
      <c r="I7" s="67"/>
      <c r="J7" s="67"/>
      <c r="K7" s="67"/>
    </row>
    <row r="9" spans="1:37" ht="14.25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37" ht="14.25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37" ht="15.75" x14ac:dyDescent="0.25">
      <c r="A11" s="69" t="str">
        <f>CONCATENATE( "ЛОКАЛЬНАЯ СМЕТА.   ",IF(Source!F12&lt;&gt;"Новый объект", Source!F12, ""))</f>
        <v>ЛОКАЛЬНАЯ СМЕТА.   КЛ-0,4 от ул.Центральная, д.6 до ул.Центральная, д.8.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AK11" s="21" t="str">
        <f>CONCATENATE( "ЛОКАЛЬНАЯ СМЕТА № ",IF(Source!F12&lt;&gt;"Новый объект", Source!F12, ""))</f>
        <v>ЛОКАЛЬНАЯ СМЕТА № КЛ-0,4 от ул.Центральная, д.6 до ул.Центральная, д.8.</v>
      </c>
    </row>
    <row r="12" spans="1:37" x14ac:dyDescent="0.2">
      <c r="A12" s="63" t="s">
        <v>245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</row>
    <row r="13" spans="1:37" ht="14.25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37" ht="18" hidden="1" x14ac:dyDescent="0.2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</row>
    <row r="15" spans="1:37" ht="14.25" hidden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37" ht="18" x14ac:dyDescent="0.25">
      <c r="A16" s="65" t="str">
        <f>IF(Source!G12&lt;&gt;"Новый объект", Source!G12, "")</f>
        <v>КЛ-0,4 от ул.Центральная, д.6 до ул.Центральная, д.8.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pans="1:37" x14ac:dyDescent="0.2">
      <c r="A17" s="63" t="s">
        <v>246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</row>
    <row r="18" spans="1:37" ht="14.25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37" ht="14.25" x14ac:dyDescent="0.2">
      <c r="A19" s="50" t="str">
        <f>CONCATENATE( "Основание: чертежи № ", Source!J12)</f>
        <v xml:space="preserve">Основание: чертежи № 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37" ht="28.5" x14ac:dyDescent="0.2">
      <c r="A20" s="11"/>
      <c r="B20" s="11"/>
      <c r="C20" s="11"/>
      <c r="D20" s="11"/>
      <c r="E20" s="11"/>
      <c r="F20" s="11"/>
      <c r="G20" s="11"/>
      <c r="H20" s="11"/>
      <c r="I20" s="17" t="s">
        <v>247</v>
      </c>
      <c r="J20" s="17" t="s">
        <v>248</v>
      </c>
      <c r="K20" s="11"/>
    </row>
    <row r="21" spans="1:37" ht="15" x14ac:dyDescent="0.25">
      <c r="A21" s="11"/>
      <c r="B21" s="11"/>
      <c r="C21" s="11"/>
      <c r="D21" s="11"/>
      <c r="E21" s="11"/>
      <c r="F21" s="53" t="s">
        <v>249</v>
      </c>
      <c r="G21" s="53"/>
      <c r="H21" s="53"/>
      <c r="I21" s="18">
        <f>SUM(O1:O205)/1000</f>
        <v>14.876689999999996</v>
      </c>
      <c r="J21" s="146">
        <f>(Source!F281/1000)</f>
        <v>162.64442000000003</v>
      </c>
      <c r="K21" s="34" t="s">
        <v>279</v>
      </c>
    </row>
    <row r="22" spans="1:37" ht="14.25" x14ac:dyDescent="0.2">
      <c r="A22" s="11"/>
      <c r="B22" s="11"/>
      <c r="C22" s="11"/>
      <c r="D22" s="11"/>
      <c r="E22" s="11"/>
      <c r="F22" s="53" t="s">
        <v>28</v>
      </c>
      <c r="G22" s="53"/>
      <c r="H22" s="53"/>
      <c r="I22" s="18">
        <f>SUM(X1:X205)/1000</f>
        <v>4.0214299999999996</v>
      </c>
      <c r="J22" s="18">
        <f>(Source!F267)/1000</f>
        <v>67.157440000000008</v>
      </c>
      <c r="K22" s="11" t="s">
        <v>279</v>
      </c>
    </row>
    <row r="23" spans="1:37" ht="14.25" x14ac:dyDescent="0.2">
      <c r="A23" s="11"/>
      <c r="B23" s="11"/>
      <c r="C23" s="11"/>
      <c r="D23" s="11"/>
      <c r="E23" s="11"/>
      <c r="F23" s="53" t="s">
        <v>250</v>
      </c>
      <c r="G23" s="53"/>
      <c r="H23" s="53"/>
      <c r="I23" s="18">
        <f>SUM(Y1:Y205)/1000</f>
        <v>10.574579999999999</v>
      </c>
      <c r="J23" s="18">
        <f>(Source!F268)/1000</f>
        <v>62.436910000000005</v>
      </c>
      <c r="K23" s="11" t="s">
        <v>279</v>
      </c>
    </row>
    <row r="24" spans="1:37" ht="14.25" x14ac:dyDescent="0.2">
      <c r="A24" s="11"/>
      <c r="B24" s="11"/>
      <c r="C24" s="11"/>
      <c r="D24" s="11"/>
      <c r="E24" s="11"/>
      <c r="F24" s="53" t="s">
        <v>251</v>
      </c>
      <c r="G24" s="53"/>
      <c r="H24" s="53"/>
      <c r="I24" s="18">
        <f>SUM(Z1:Z205)/1000</f>
        <v>0</v>
      </c>
      <c r="J24" s="18">
        <f>(Source!F259)/1000</f>
        <v>0</v>
      </c>
      <c r="K24" s="11" t="s">
        <v>279</v>
      </c>
    </row>
    <row r="25" spans="1:37" ht="14.25" x14ac:dyDescent="0.2">
      <c r="A25" s="11"/>
      <c r="B25" s="11"/>
      <c r="C25" s="11"/>
      <c r="D25" s="11"/>
      <c r="E25" s="11"/>
      <c r="F25" s="53" t="s">
        <v>252</v>
      </c>
      <c r="G25" s="53"/>
      <c r="H25" s="53"/>
      <c r="I25" s="18">
        <f>SUM(AA1:AA205)/1000</f>
        <v>0.28067999999999999</v>
      </c>
      <c r="J25" s="18">
        <f>(Source!F269+Source!F270)/1000</f>
        <v>5.9426699999999997</v>
      </c>
      <c r="K25" s="11" t="s">
        <v>279</v>
      </c>
    </row>
    <row r="26" spans="1:37" ht="14.25" x14ac:dyDescent="0.2">
      <c r="A26" s="11"/>
      <c r="B26" s="11"/>
      <c r="C26" s="11"/>
      <c r="D26" s="11"/>
      <c r="E26" s="11"/>
      <c r="F26" s="53" t="s">
        <v>253</v>
      </c>
      <c r="G26" s="53"/>
      <c r="H26" s="53"/>
      <c r="I26" s="18">
        <f>SUM(W1:W205)/1000</f>
        <v>1.7008000000000001</v>
      </c>
      <c r="J26" s="18">
        <f>(Source!F265+ Source!F264)/1000</f>
        <v>42.213850000000001</v>
      </c>
      <c r="K26" s="11" t="s">
        <v>279</v>
      </c>
    </row>
    <row r="27" spans="1:37" ht="14.25" hidden="1" x14ac:dyDescent="0.2">
      <c r="A27" s="11"/>
      <c r="B27" s="11"/>
      <c r="C27" s="11"/>
      <c r="D27" s="11"/>
      <c r="E27" s="11"/>
      <c r="F27" s="62" t="s">
        <v>254</v>
      </c>
      <c r="G27" s="62"/>
      <c r="H27" s="62"/>
      <c r="I27" s="18"/>
      <c r="J27" s="18"/>
      <c r="K27" s="11"/>
    </row>
    <row r="28" spans="1:37" ht="14.25" hidden="1" x14ac:dyDescent="0.2">
      <c r="A28" s="11"/>
      <c r="B28" s="11"/>
      <c r="C28" s="11"/>
      <c r="D28" s="11"/>
      <c r="E28" s="11"/>
      <c r="F28" s="59" t="s">
        <v>112</v>
      </c>
      <c r="G28" s="60"/>
      <c r="H28" s="60"/>
      <c r="I28" s="18">
        <f>SUM(AE1:AE205)/1000</f>
        <v>0</v>
      </c>
      <c r="J28" s="18">
        <f>SUM(AF1:AF205)/1000</f>
        <v>0</v>
      </c>
      <c r="K28" s="11" t="s">
        <v>279</v>
      </c>
    </row>
    <row r="29" spans="1:37" ht="14.25" x14ac:dyDescent="0.2">
      <c r="A29" s="61" t="s">
        <v>266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AK29" s="22" t="s">
        <v>266</v>
      </c>
    </row>
    <row r="30" spans="1:37" ht="99.75" x14ac:dyDescent="0.2">
      <c r="A30" s="19" t="s">
        <v>255</v>
      </c>
      <c r="B30" s="19" t="s">
        <v>256</v>
      </c>
      <c r="C30" s="19" t="s">
        <v>257</v>
      </c>
      <c r="D30" s="19" t="s">
        <v>258</v>
      </c>
      <c r="E30" s="19" t="s">
        <v>259</v>
      </c>
      <c r="F30" s="19" t="s">
        <v>260</v>
      </c>
      <c r="G30" s="20" t="s">
        <v>261</v>
      </c>
      <c r="H30" s="20" t="s">
        <v>262</v>
      </c>
      <c r="I30" s="19" t="s">
        <v>263</v>
      </c>
      <c r="J30" s="19" t="s">
        <v>264</v>
      </c>
      <c r="K30" s="19" t="s">
        <v>265</v>
      </c>
    </row>
    <row r="31" spans="1:37" ht="14.25" x14ac:dyDescent="0.2">
      <c r="A31" s="19">
        <v>1</v>
      </c>
      <c r="B31" s="19">
        <v>2</v>
      </c>
      <c r="C31" s="19">
        <v>3</v>
      </c>
      <c r="D31" s="19">
        <v>4</v>
      </c>
      <c r="E31" s="19">
        <v>5</v>
      </c>
      <c r="F31" s="19">
        <v>6</v>
      </c>
      <c r="G31" s="19">
        <v>7</v>
      </c>
      <c r="H31" s="19">
        <v>8</v>
      </c>
      <c r="I31" s="19">
        <v>9</v>
      </c>
      <c r="J31" s="19">
        <v>10</v>
      </c>
      <c r="K31" s="19">
        <v>11</v>
      </c>
    </row>
    <row r="33" spans="1:27" ht="16.5" x14ac:dyDescent="0.25">
      <c r="A33" s="57" t="str">
        <f>CONCATENATE("Локальная смета: ",IF(Source!G20&lt;&gt;"Новая локальная смета", Source!G20, ""))</f>
        <v>Локальная смета: КЛ-0,4 от ул. Центральная, д.6 до ул.Центральная, д.8.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</row>
    <row r="35" spans="1:27" ht="16.5" x14ac:dyDescent="0.25">
      <c r="A35" s="57" t="str">
        <f>CONCATENATE("Раздел: ",IF(Source!G24&lt;&gt;"Новый раздел", Source!G24, ""))</f>
        <v>Раздел: Земляные работы.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</row>
    <row r="36" spans="1:27" ht="57" x14ac:dyDescent="0.2">
      <c r="A36" s="23" t="str">
        <f>Source!E28</f>
        <v>1</v>
      </c>
      <c r="B36" s="24" t="str">
        <f>Source!F28</f>
        <v>3.1-51-1</v>
      </c>
      <c r="C36" s="24" t="s">
        <v>25</v>
      </c>
      <c r="D36" s="25" t="str">
        <f>Source!H28</f>
        <v>100 м3</v>
      </c>
      <c r="E36" s="10">
        <f>Source!I28</f>
        <v>0.23400000000000001</v>
      </c>
      <c r="F36" s="27"/>
      <c r="G36" s="26"/>
      <c r="H36" s="10"/>
      <c r="I36" s="28"/>
      <c r="J36" s="10"/>
      <c r="K36" s="28"/>
      <c r="Q36">
        <f>ROUND((Source!DN28/100)*ROUND((ROUND((Source!AF28*Source!AV28*Source!I28),2)),2), 2)</f>
        <v>542.82000000000005</v>
      </c>
      <c r="R36">
        <f>Source!X28</f>
        <v>10807.93</v>
      </c>
      <c r="S36">
        <f>ROUND((Source!DO28/100)*ROUND((ROUND((Source!AF28*Source!AV28*Source!I28),2)),2), 2)</f>
        <v>399.66</v>
      </c>
      <c r="T36">
        <f>Source!Y28</f>
        <v>6070.21</v>
      </c>
      <c r="U36">
        <f>ROUND((175/100)*ROUND((ROUND((Source!AE28*Source!AV28*Source!I28),2)),2), 2)</f>
        <v>0</v>
      </c>
      <c r="V36">
        <f>ROUND((157/100)*ROUND(ROUND((ROUND((Source!AE28*Source!AV28*Source!I28),2)*Source!BS28),2), 2), 2)</f>
        <v>0</v>
      </c>
    </row>
    <row r="37" spans="1:27" x14ac:dyDescent="0.2">
      <c r="C37" s="29" t="str">
        <f>"Объем: "&amp;Source!I28&amp;"=0,4*"&amp;"0,9*"&amp;"65/"&amp;"100"</f>
        <v>Объем: 0,234=0,4*0,9*65/100</v>
      </c>
    </row>
    <row r="38" spans="1:27" ht="14.25" x14ac:dyDescent="0.2">
      <c r="A38" s="23"/>
      <c r="B38" s="24"/>
      <c r="C38" s="24" t="s">
        <v>267</v>
      </c>
      <c r="D38" s="25"/>
      <c r="E38" s="10"/>
      <c r="F38" s="27">
        <f>Source!AO28</f>
        <v>2042.62</v>
      </c>
      <c r="G38" s="26" t="str">
        <f>Source!DG28</f>
        <v/>
      </c>
      <c r="H38" s="10">
        <f>Source!AV28</f>
        <v>1.248</v>
      </c>
      <c r="I38" s="28">
        <f>ROUND((ROUND((Source!AF28*Source!AV28*Source!I28),2)),2)</f>
        <v>596.51</v>
      </c>
      <c r="J38" s="10">
        <f>IF(Source!BA28&lt;&gt; 0, Source!BA28, 1)</f>
        <v>24.82</v>
      </c>
      <c r="K38" s="28">
        <f>Source!S28</f>
        <v>14805.38</v>
      </c>
      <c r="W38">
        <f>I38</f>
        <v>596.51</v>
      </c>
    </row>
    <row r="39" spans="1:27" ht="14.25" x14ac:dyDescent="0.2">
      <c r="A39" s="23"/>
      <c r="B39" s="24"/>
      <c r="C39" s="24" t="s">
        <v>268</v>
      </c>
      <c r="D39" s="25" t="s">
        <v>269</v>
      </c>
      <c r="E39" s="10">
        <f>Source!DN28</f>
        <v>91</v>
      </c>
      <c r="F39" s="27"/>
      <c r="G39" s="26"/>
      <c r="H39" s="10"/>
      <c r="I39" s="28">
        <f>SUM(Q36:Q38)</f>
        <v>542.82000000000005</v>
      </c>
      <c r="J39" s="10">
        <f>Source!BZ28</f>
        <v>73</v>
      </c>
      <c r="K39" s="28">
        <f>SUM(R36:R38)</f>
        <v>10807.93</v>
      </c>
    </row>
    <row r="40" spans="1:27" ht="14.25" x14ac:dyDescent="0.2">
      <c r="A40" s="23"/>
      <c r="B40" s="24"/>
      <c r="C40" s="24" t="s">
        <v>270</v>
      </c>
      <c r="D40" s="25" t="s">
        <v>269</v>
      </c>
      <c r="E40" s="10">
        <f>Source!DO28</f>
        <v>67</v>
      </c>
      <c r="F40" s="27"/>
      <c r="G40" s="26"/>
      <c r="H40" s="10"/>
      <c r="I40" s="28">
        <f>SUM(S36:S39)</f>
        <v>399.66</v>
      </c>
      <c r="J40" s="10">
        <f>Source!CA28</f>
        <v>41</v>
      </c>
      <c r="K40" s="28">
        <f>SUM(T36:T39)</f>
        <v>6070.21</v>
      </c>
    </row>
    <row r="41" spans="1:27" ht="14.25" x14ac:dyDescent="0.2">
      <c r="A41" s="23"/>
      <c r="B41" s="24"/>
      <c r="C41" s="24" t="s">
        <v>271</v>
      </c>
      <c r="D41" s="25" t="s">
        <v>272</v>
      </c>
      <c r="E41" s="10">
        <f>Source!AQ28</f>
        <v>192.7</v>
      </c>
      <c r="F41" s="27"/>
      <c r="G41" s="26" t="str">
        <f>Source!DI28</f>
        <v/>
      </c>
      <c r="H41" s="10">
        <f>Source!AV28</f>
        <v>1.248</v>
      </c>
      <c r="I41" s="28">
        <f>Source!U28</f>
        <v>56.274566400000005</v>
      </c>
      <c r="J41" s="10"/>
      <c r="K41" s="28"/>
    </row>
    <row r="42" spans="1:27" ht="15" x14ac:dyDescent="0.25">
      <c r="A42" s="31"/>
      <c r="B42" s="31"/>
      <c r="C42" s="31"/>
      <c r="D42" s="31"/>
      <c r="E42" s="31"/>
      <c r="F42" s="31"/>
      <c r="G42" s="31"/>
      <c r="H42" s="58">
        <f>I38+I39+I40</f>
        <v>1538.99</v>
      </c>
      <c r="I42" s="58"/>
      <c r="J42" s="58">
        <f>K38+K39+K40</f>
        <v>31683.519999999997</v>
      </c>
      <c r="K42" s="58"/>
      <c r="O42" s="30">
        <f>I38+I39+I40</f>
        <v>1538.99</v>
      </c>
      <c r="P42" s="30">
        <f>K38+K39+K40</f>
        <v>31683.519999999997</v>
      </c>
      <c r="X42">
        <f>IF(Source!BI28&lt;=1,I38+I39+I40-0, 0)</f>
        <v>1538.99</v>
      </c>
      <c r="Y42">
        <f>IF(Source!BI28=2,I38+I39+I40-0, 0)</f>
        <v>0</v>
      </c>
      <c r="Z42">
        <f>IF(Source!BI28=3,I38+I39+I40-0, 0)</f>
        <v>0</v>
      </c>
      <c r="AA42">
        <f>IF(Source!BI28=4,I38+I39+I40,0)</f>
        <v>0</v>
      </c>
    </row>
    <row r="43" spans="1:27" ht="42.75" x14ac:dyDescent="0.2">
      <c r="A43" s="23" t="str">
        <f>Source!E29</f>
        <v>2</v>
      </c>
      <c r="B43" s="24" t="str">
        <f>Source!F29</f>
        <v>3.1-53-1</v>
      </c>
      <c r="C43" s="24" t="s">
        <v>33</v>
      </c>
      <c r="D43" s="25" t="str">
        <f>Source!H29</f>
        <v>100 м3</v>
      </c>
      <c r="E43" s="10">
        <f>Source!I29</f>
        <v>0.23400000000000001</v>
      </c>
      <c r="F43" s="27"/>
      <c r="G43" s="26"/>
      <c r="H43" s="10"/>
      <c r="I43" s="28"/>
      <c r="J43" s="10"/>
      <c r="K43" s="28"/>
      <c r="Q43">
        <f>ROUND((Source!DN29/100)*ROUND((ROUND((Source!AF29*Source!AV29*Source!I29),2)),2), 2)</f>
        <v>279.33</v>
      </c>
      <c r="R43">
        <f>Source!X29</f>
        <v>5561.69</v>
      </c>
      <c r="S43">
        <f>ROUND((Source!DO29/100)*ROUND((ROUND((Source!AF29*Source!AV29*Source!I29),2)),2), 2)</f>
        <v>205.66</v>
      </c>
      <c r="T43">
        <f>Source!Y29</f>
        <v>3123.69</v>
      </c>
      <c r="U43">
        <f>ROUND((175/100)*ROUND((ROUND((Source!AE29*Source!AV29*Source!I29),2)),2), 2)</f>
        <v>0</v>
      </c>
      <c r="V43">
        <f>ROUND((157/100)*ROUND(ROUND((ROUND((Source!AE29*Source!AV29*Source!I29),2)*Source!BS29),2), 2), 2)</f>
        <v>0</v>
      </c>
    </row>
    <row r="44" spans="1:27" ht="14.25" x14ac:dyDescent="0.2">
      <c r="A44" s="23"/>
      <c r="B44" s="24"/>
      <c r="C44" s="24" t="s">
        <v>267</v>
      </c>
      <c r="D44" s="25"/>
      <c r="E44" s="10"/>
      <c r="F44" s="27">
        <f>Source!AO29</f>
        <v>1051.1300000000001</v>
      </c>
      <c r="G44" s="26" t="str">
        <f>Source!DG29</f>
        <v/>
      </c>
      <c r="H44" s="10">
        <f>Source!AV29</f>
        <v>1.248</v>
      </c>
      <c r="I44" s="28">
        <f>ROUND((ROUND((Source!AF29*Source!AV29*Source!I29),2)),2)</f>
        <v>306.95999999999998</v>
      </c>
      <c r="J44" s="10">
        <f>IF(Source!BA29&lt;&gt; 0, Source!BA29, 1)</f>
        <v>24.82</v>
      </c>
      <c r="K44" s="28">
        <f>Source!S29</f>
        <v>7618.75</v>
      </c>
      <c r="W44">
        <f>I44</f>
        <v>306.95999999999998</v>
      </c>
    </row>
    <row r="45" spans="1:27" ht="14.25" x14ac:dyDescent="0.2">
      <c r="A45" s="23"/>
      <c r="B45" s="24"/>
      <c r="C45" s="24" t="s">
        <v>268</v>
      </c>
      <c r="D45" s="25" t="s">
        <v>269</v>
      </c>
      <c r="E45" s="10">
        <f>Source!DN29</f>
        <v>91</v>
      </c>
      <c r="F45" s="27"/>
      <c r="G45" s="26"/>
      <c r="H45" s="10"/>
      <c r="I45" s="28">
        <f>SUM(Q43:Q44)</f>
        <v>279.33</v>
      </c>
      <c r="J45" s="10">
        <f>Source!BZ29</f>
        <v>73</v>
      </c>
      <c r="K45" s="28">
        <f>SUM(R43:R44)</f>
        <v>5561.69</v>
      </c>
    </row>
    <row r="46" spans="1:27" ht="14.25" x14ac:dyDescent="0.2">
      <c r="A46" s="23"/>
      <c r="B46" s="24"/>
      <c r="C46" s="24" t="s">
        <v>270</v>
      </c>
      <c r="D46" s="25" t="s">
        <v>269</v>
      </c>
      <c r="E46" s="10">
        <f>Source!DO29</f>
        <v>67</v>
      </c>
      <c r="F46" s="27"/>
      <c r="G46" s="26"/>
      <c r="H46" s="10"/>
      <c r="I46" s="28">
        <f>SUM(S43:S45)</f>
        <v>205.66</v>
      </c>
      <c r="J46" s="10">
        <f>Source!CA29</f>
        <v>41</v>
      </c>
      <c r="K46" s="28">
        <f>SUM(T43:T45)</f>
        <v>3123.69</v>
      </c>
    </row>
    <row r="47" spans="1:27" ht="14.25" x14ac:dyDescent="0.2">
      <c r="A47" s="23"/>
      <c r="B47" s="24"/>
      <c r="C47" s="24" t="s">
        <v>271</v>
      </c>
      <c r="D47" s="25" t="s">
        <v>272</v>
      </c>
      <c r="E47" s="10">
        <f>Source!AQ29</f>
        <v>107.04</v>
      </c>
      <c r="F47" s="27"/>
      <c r="G47" s="26" t="str">
        <f>Source!DI29</f>
        <v/>
      </c>
      <c r="H47" s="10">
        <f>Source!AV29</f>
        <v>1.248</v>
      </c>
      <c r="I47" s="28">
        <f>Source!U29</f>
        <v>31.259105280000007</v>
      </c>
      <c r="J47" s="10"/>
      <c r="K47" s="28"/>
    </row>
    <row r="48" spans="1:27" ht="15" x14ac:dyDescent="0.25">
      <c r="A48" s="31"/>
      <c r="B48" s="31"/>
      <c r="C48" s="31"/>
      <c r="D48" s="31"/>
      <c r="E48" s="31"/>
      <c r="F48" s="31"/>
      <c r="G48" s="31"/>
      <c r="H48" s="58">
        <f>I44+I45+I46</f>
        <v>791.94999999999993</v>
      </c>
      <c r="I48" s="58"/>
      <c r="J48" s="58">
        <f>K44+K45+K46</f>
        <v>16304.13</v>
      </c>
      <c r="K48" s="58"/>
      <c r="O48" s="30">
        <f>I44+I45+I46</f>
        <v>791.94999999999993</v>
      </c>
      <c r="P48" s="30">
        <f>K44+K45+K46</f>
        <v>16304.13</v>
      </c>
      <c r="X48">
        <f>IF(Source!BI29&lt;=1,I44+I45+I46-0, 0)</f>
        <v>791.94999999999993</v>
      </c>
      <c r="Y48">
        <f>IF(Source!BI29=2,I44+I45+I46-0, 0)</f>
        <v>0</v>
      </c>
      <c r="Z48">
        <f>IF(Source!BI29=3,I44+I45+I46-0, 0)</f>
        <v>0</v>
      </c>
      <c r="AA48">
        <f>IF(Source!BI29=4,I44+I45+I46,0)</f>
        <v>0</v>
      </c>
    </row>
    <row r="49" spans="1:27" ht="14.25" x14ac:dyDescent="0.2">
      <c r="A49" s="23" t="str">
        <f>Source!E30</f>
        <v>3</v>
      </c>
      <c r="B49" s="24" t="str">
        <f>Source!F30</f>
        <v>3.1-58-1</v>
      </c>
      <c r="C49" s="24" t="s">
        <v>37</v>
      </c>
      <c r="D49" s="25" t="str">
        <f>Source!H30</f>
        <v>100 м3</v>
      </c>
      <c r="E49" s="10">
        <f>Source!I30</f>
        <v>7.0199999999999999E-2</v>
      </c>
      <c r="F49" s="27"/>
      <c r="G49" s="26"/>
      <c r="H49" s="10"/>
      <c r="I49" s="28"/>
      <c r="J49" s="10"/>
      <c r="K49" s="28"/>
      <c r="Q49">
        <f>ROUND((Source!DN30/100)*ROUND((ROUND((Source!AF30*Source!AV30*Source!I30),2)),2), 2)</f>
        <v>0</v>
      </c>
      <c r="R49">
        <f>Source!X30</f>
        <v>0</v>
      </c>
      <c r="S49">
        <f>ROUND((Source!DO30/100)*ROUND((ROUND((Source!AF30*Source!AV30*Source!I30),2)),2), 2)</f>
        <v>0</v>
      </c>
      <c r="T49">
        <f>Source!Y30</f>
        <v>0</v>
      </c>
      <c r="U49">
        <f>ROUND((175/100)*ROUND((ROUND((Source!AE30*Source!AV30*Source!I30),2)),2), 2)</f>
        <v>154.13999999999999</v>
      </c>
      <c r="V49">
        <f>ROUND((157/100)*ROUND(ROUND((ROUND((Source!AE30*Source!AV30*Source!I30),2)*Source!BS30),2), 2), 2)</f>
        <v>3432.26</v>
      </c>
    </row>
    <row r="50" spans="1:27" x14ac:dyDescent="0.2">
      <c r="C50" s="29" t="str">
        <f>"Объем: "&amp;Source!I30&amp;"="&amp;Source!I28&amp;"*"&amp;"0,3"</f>
        <v>Объем: 0,0702=0,234*0,3</v>
      </c>
    </row>
    <row r="51" spans="1:27" ht="14.25" x14ac:dyDescent="0.2">
      <c r="A51" s="23"/>
      <c r="B51" s="24"/>
      <c r="C51" s="24" t="s">
        <v>273</v>
      </c>
      <c r="D51" s="25"/>
      <c r="E51" s="10"/>
      <c r="F51" s="27">
        <f>Source!AM30</f>
        <v>2033.46</v>
      </c>
      <c r="G51" s="26" t="str">
        <f>Source!DE30</f>
        <v/>
      </c>
      <c r="H51" s="10">
        <f>Source!AV30</f>
        <v>1.0469999999999999</v>
      </c>
      <c r="I51" s="28">
        <f>(ROUND((ROUND(((Source!ET30)*Source!AV30*Source!I30),2)),2)+ROUND((ROUND(((Source!AE30-(Source!EU30))*Source!AV30*Source!I30),2)),2))</f>
        <v>149.46</v>
      </c>
      <c r="J51" s="10">
        <f>IF(Source!BB30&lt;&gt; 0, Source!BB30, 1)</f>
        <v>18.52</v>
      </c>
      <c r="K51" s="28">
        <f>Source!Q30</f>
        <v>2768</v>
      </c>
    </row>
    <row r="52" spans="1:27" ht="14.25" x14ac:dyDescent="0.2">
      <c r="A52" s="23"/>
      <c r="B52" s="24"/>
      <c r="C52" s="24" t="s">
        <v>274</v>
      </c>
      <c r="D52" s="25"/>
      <c r="E52" s="10"/>
      <c r="F52" s="27">
        <f>Source!AN30</f>
        <v>1198.3399999999999</v>
      </c>
      <c r="G52" s="26" t="str">
        <f>Source!DF30</f>
        <v/>
      </c>
      <c r="H52" s="10">
        <f>Source!AV30</f>
        <v>1.0469999999999999</v>
      </c>
      <c r="I52" s="32">
        <f>ROUND((ROUND((Source!AE30*Source!AV30*Source!I30),2)),2)</f>
        <v>88.08</v>
      </c>
      <c r="J52" s="10">
        <f>IF(Source!BS30&lt;&gt; 0, Source!BS30, 1)</f>
        <v>24.82</v>
      </c>
      <c r="K52" s="32">
        <f>Source!R30</f>
        <v>2186.15</v>
      </c>
      <c r="W52">
        <f>I52</f>
        <v>88.08</v>
      </c>
    </row>
    <row r="53" spans="1:27" ht="14.25" x14ac:dyDescent="0.2">
      <c r="A53" s="23"/>
      <c r="B53" s="24"/>
      <c r="C53" s="24" t="s">
        <v>275</v>
      </c>
      <c r="D53" s="25" t="s">
        <v>269</v>
      </c>
      <c r="E53" s="10">
        <f>175</f>
        <v>175</v>
      </c>
      <c r="F53" s="27"/>
      <c r="G53" s="26"/>
      <c r="H53" s="10"/>
      <c r="I53" s="28">
        <f>SUM(U49:U52)</f>
        <v>154.13999999999999</v>
      </c>
      <c r="J53" s="10">
        <f>157</f>
        <v>157</v>
      </c>
      <c r="K53" s="28">
        <f>SUM(V49:V52)</f>
        <v>3432.26</v>
      </c>
    </row>
    <row r="54" spans="1:27" ht="15" x14ac:dyDescent="0.25">
      <c r="A54" s="31"/>
      <c r="B54" s="31"/>
      <c r="C54" s="31"/>
      <c r="D54" s="31"/>
      <c r="E54" s="31"/>
      <c r="F54" s="31"/>
      <c r="G54" s="31"/>
      <c r="H54" s="58">
        <f>I51+I53</f>
        <v>303.60000000000002</v>
      </c>
      <c r="I54" s="58"/>
      <c r="J54" s="58">
        <f>K51+K53</f>
        <v>6200.26</v>
      </c>
      <c r="K54" s="58"/>
      <c r="O54" s="30">
        <f>I51+I53</f>
        <v>303.60000000000002</v>
      </c>
      <c r="P54" s="30">
        <f>K51+K53</f>
        <v>6200.26</v>
      </c>
      <c r="X54">
        <f>IF(Source!BI30&lt;=1,I51+I53-0, 0)</f>
        <v>303.60000000000002</v>
      </c>
      <c r="Y54">
        <f>IF(Source!BI30=2,I51+I53-0, 0)</f>
        <v>0</v>
      </c>
      <c r="Z54">
        <f>IF(Source!BI30=3,I51+I53-0, 0)</f>
        <v>0</v>
      </c>
      <c r="AA54">
        <f>IF(Source!BI30=4,I51+I53,0)</f>
        <v>0</v>
      </c>
    </row>
    <row r="55" spans="1:27" ht="28.5" x14ac:dyDescent="0.2">
      <c r="A55" s="23" t="str">
        <f>Source!E31</f>
        <v>4</v>
      </c>
      <c r="B55" s="24" t="str">
        <f>Source!F31</f>
        <v>4.8-74-1</v>
      </c>
      <c r="C55" s="24" t="s">
        <v>43</v>
      </c>
      <c r="D55" s="25" t="str">
        <f>Source!H31</f>
        <v>100 м</v>
      </c>
      <c r="E55" s="10">
        <f>Source!I31</f>
        <v>0.74750000000000005</v>
      </c>
      <c r="F55" s="27"/>
      <c r="G55" s="26"/>
      <c r="H55" s="10"/>
      <c r="I55" s="28"/>
      <c r="J55" s="10"/>
      <c r="K55" s="28"/>
      <c r="Q55">
        <f>ROUND((Source!DN31/100)*ROUND((ROUND((Source!AF31*Source!AV31*Source!I31),2)),2), 2)</f>
        <v>68.16</v>
      </c>
      <c r="R55">
        <f>Source!X31</f>
        <v>1142.67</v>
      </c>
      <c r="S55">
        <f>ROUND((Source!DO31/100)*ROUND((ROUND((Source!AF31*Source!AV31*Source!I31),2)),2), 2)</f>
        <v>40.06</v>
      </c>
      <c r="T55">
        <f>Source!Y31</f>
        <v>608.44000000000005</v>
      </c>
      <c r="U55">
        <f>ROUND((175/100)*ROUND((ROUND((Source!AE31*Source!AV31*Source!I31),2)),2), 2)</f>
        <v>125.41</v>
      </c>
      <c r="V55">
        <f>ROUND((157/100)*ROUND(ROUND((ROUND((Source!AE31*Source!AV31*Source!I31),2)*Source!BS31),2), 2), 2)</f>
        <v>2792.4</v>
      </c>
    </row>
    <row r="56" spans="1:27" x14ac:dyDescent="0.2">
      <c r="C56" s="29" t="str">
        <f>"Объем: "&amp;Source!I31&amp;"=65/"&amp;"100*"&amp;"1,15"</f>
        <v>Объем: 0,7475=65/100*1,15</v>
      </c>
    </row>
    <row r="57" spans="1:27" ht="14.25" x14ac:dyDescent="0.2">
      <c r="A57" s="23"/>
      <c r="B57" s="24"/>
      <c r="C57" s="24" t="s">
        <v>267</v>
      </c>
      <c r="D57" s="25"/>
      <c r="E57" s="10"/>
      <c r="F57" s="27">
        <f>Source!AO31</f>
        <v>74.97</v>
      </c>
      <c r="G57" s="26" t="str">
        <f>Source!DG31</f>
        <v/>
      </c>
      <c r="H57" s="10">
        <f>Source!AV31</f>
        <v>1.0669999999999999</v>
      </c>
      <c r="I57" s="28">
        <f>ROUND((ROUND((Source!AF31*Source!AV31*Source!I31),2)),2)</f>
        <v>59.79</v>
      </c>
      <c r="J57" s="10">
        <f>IF(Source!BA31&lt;&gt; 0, Source!BA31, 1)</f>
        <v>24.82</v>
      </c>
      <c r="K57" s="28">
        <f>Source!S31</f>
        <v>1483.99</v>
      </c>
      <c r="W57">
        <f>I57</f>
        <v>59.79</v>
      </c>
    </row>
    <row r="58" spans="1:27" ht="14.25" x14ac:dyDescent="0.2">
      <c r="A58" s="23"/>
      <c r="B58" s="24"/>
      <c r="C58" s="24" t="s">
        <v>273</v>
      </c>
      <c r="D58" s="25"/>
      <c r="E58" s="10"/>
      <c r="F58" s="27">
        <f>Source!AM31</f>
        <v>386.9</v>
      </c>
      <c r="G58" s="26" t="str">
        <f>Source!DE31</f>
        <v/>
      </c>
      <c r="H58" s="10">
        <f>Source!AV31</f>
        <v>1.0669999999999999</v>
      </c>
      <c r="I58" s="28">
        <f>(ROUND((ROUND(((Source!ET31)*Source!AV31*Source!I31),2)),2)+ROUND((ROUND(((Source!AE31-(Source!EU31))*Source!AV31*Source!I31),2)),2))</f>
        <v>308.58</v>
      </c>
      <c r="J58" s="10">
        <f>IF(Source!BB31&lt;&gt; 0, Source!BB31, 1)</f>
        <v>8.93</v>
      </c>
      <c r="K58" s="28">
        <f>Source!Q31</f>
        <v>2755.62</v>
      </c>
    </row>
    <row r="59" spans="1:27" ht="14.25" x14ac:dyDescent="0.2">
      <c r="A59" s="23"/>
      <c r="B59" s="24"/>
      <c r="C59" s="24" t="s">
        <v>274</v>
      </c>
      <c r="D59" s="25"/>
      <c r="E59" s="10"/>
      <c r="F59" s="27">
        <f>Source!AN31</f>
        <v>89.85</v>
      </c>
      <c r="G59" s="26" t="str">
        <f>Source!DF31</f>
        <v/>
      </c>
      <c r="H59" s="10">
        <f>Source!AV31</f>
        <v>1.0669999999999999</v>
      </c>
      <c r="I59" s="32">
        <f>ROUND((ROUND((Source!AE31*Source!AV31*Source!I31),2)),2)</f>
        <v>71.66</v>
      </c>
      <c r="J59" s="10">
        <f>IF(Source!BS31&lt;&gt; 0, Source!BS31, 1)</f>
        <v>24.82</v>
      </c>
      <c r="K59" s="32">
        <f>Source!R31</f>
        <v>1778.6</v>
      </c>
      <c r="W59">
        <f>I59</f>
        <v>71.66</v>
      </c>
    </row>
    <row r="60" spans="1:27" ht="14.25" x14ac:dyDescent="0.2">
      <c r="A60" s="23"/>
      <c r="B60" s="24"/>
      <c r="C60" s="24" t="s">
        <v>276</v>
      </c>
      <c r="D60" s="25"/>
      <c r="E60" s="10"/>
      <c r="F60" s="27">
        <f>Source!AL31</f>
        <v>0.56000000000000005</v>
      </c>
      <c r="G60" s="26" t="str">
        <f>Source!DD31</f>
        <v/>
      </c>
      <c r="H60" s="10">
        <f>Source!AW31</f>
        <v>1.081</v>
      </c>
      <c r="I60" s="28">
        <f>ROUND((ROUND((Source!AC31*Source!AW31*Source!I31),2)),2)</f>
        <v>0.45</v>
      </c>
      <c r="J60" s="10">
        <f>IF(Source!BC31&lt;&gt; 0, Source!BC31, 1)</f>
        <v>5.29</v>
      </c>
      <c r="K60" s="28">
        <f>Source!P31</f>
        <v>2.38</v>
      </c>
    </row>
    <row r="61" spans="1:27" ht="14.25" x14ac:dyDescent="0.2">
      <c r="A61" s="23"/>
      <c r="B61" s="24"/>
      <c r="C61" s="24" t="s">
        <v>268</v>
      </c>
      <c r="D61" s="25" t="s">
        <v>269</v>
      </c>
      <c r="E61" s="10">
        <f>Source!DN31</f>
        <v>114</v>
      </c>
      <c r="F61" s="27"/>
      <c r="G61" s="26"/>
      <c r="H61" s="10"/>
      <c r="I61" s="28">
        <f>SUM(Q55:Q60)</f>
        <v>68.16</v>
      </c>
      <c r="J61" s="10">
        <f>Source!BZ31</f>
        <v>77</v>
      </c>
      <c r="K61" s="28">
        <f>SUM(R55:R60)</f>
        <v>1142.67</v>
      </c>
    </row>
    <row r="62" spans="1:27" ht="14.25" x14ac:dyDescent="0.2">
      <c r="A62" s="23"/>
      <c r="B62" s="24"/>
      <c r="C62" s="24" t="s">
        <v>270</v>
      </c>
      <c r="D62" s="25" t="s">
        <v>269</v>
      </c>
      <c r="E62" s="10">
        <f>Source!DO31</f>
        <v>67</v>
      </c>
      <c r="F62" s="27"/>
      <c r="G62" s="26"/>
      <c r="H62" s="10"/>
      <c r="I62" s="28">
        <f>SUM(S55:S61)</f>
        <v>40.06</v>
      </c>
      <c r="J62" s="10">
        <f>Source!CA31</f>
        <v>41</v>
      </c>
      <c r="K62" s="28">
        <f>SUM(T55:T61)</f>
        <v>608.44000000000005</v>
      </c>
    </row>
    <row r="63" spans="1:27" ht="14.25" x14ac:dyDescent="0.2">
      <c r="A63" s="23"/>
      <c r="B63" s="24"/>
      <c r="C63" s="24" t="s">
        <v>275</v>
      </c>
      <c r="D63" s="25" t="s">
        <v>269</v>
      </c>
      <c r="E63" s="10">
        <f>175</f>
        <v>175</v>
      </c>
      <c r="F63" s="27"/>
      <c r="G63" s="26"/>
      <c r="H63" s="10"/>
      <c r="I63" s="28">
        <f>SUM(U55:U62)</f>
        <v>125.41</v>
      </c>
      <c r="J63" s="10">
        <f>157</f>
        <v>157</v>
      </c>
      <c r="K63" s="28">
        <f>SUM(V55:V62)</f>
        <v>2792.4</v>
      </c>
    </row>
    <row r="64" spans="1:27" ht="14.25" x14ac:dyDescent="0.2">
      <c r="A64" s="23"/>
      <c r="B64" s="24"/>
      <c r="C64" s="24" t="s">
        <v>271</v>
      </c>
      <c r="D64" s="25" t="s">
        <v>272</v>
      </c>
      <c r="E64" s="10">
        <f>Source!AQ31</f>
        <v>6.08</v>
      </c>
      <c r="F64" s="27"/>
      <c r="G64" s="26" t="str">
        <f>Source!DI31</f>
        <v/>
      </c>
      <c r="H64" s="10">
        <f>Source!AV31</f>
        <v>1.0669999999999999</v>
      </c>
      <c r="I64" s="28">
        <f>Source!U31</f>
        <v>4.8493016000000004</v>
      </c>
      <c r="J64" s="10"/>
      <c r="K64" s="28"/>
    </row>
    <row r="65" spans="1:27" ht="15" x14ac:dyDescent="0.25">
      <c r="A65" s="31"/>
      <c r="B65" s="31"/>
      <c r="C65" s="31"/>
      <c r="D65" s="31"/>
      <c r="E65" s="31"/>
      <c r="F65" s="31"/>
      <c r="G65" s="31"/>
      <c r="H65" s="58">
        <f>I57+I58+I60+I61+I62+I63</f>
        <v>602.45000000000005</v>
      </c>
      <c r="I65" s="58"/>
      <c r="J65" s="58">
        <f>K57+K58+K60+K61+K62+K63</f>
        <v>8785.5</v>
      </c>
      <c r="K65" s="58"/>
      <c r="O65" s="30">
        <f>I57+I58+I60+I61+I62+I63</f>
        <v>602.45000000000005</v>
      </c>
      <c r="P65" s="30">
        <f>K57+K58+K60+K61+K62+K63</f>
        <v>8785.5</v>
      </c>
      <c r="X65">
        <f>IF(Source!BI31&lt;=1,I57+I58+I60+I61+I62+I63-0, 0)</f>
        <v>0</v>
      </c>
      <c r="Y65">
        <f>IF(Source!BI31=2,I57+I58+I60+I61+I62+I63-0, 0)</f>
        <v>602.45000000000005</v>
      </c>
      <c r="Z65">
        <f>IF(Source!BI31=3,I57+I58+I60+I61+I62+I63-0, 0)</f>
        <v>0</v>
      </c>
      <c r="AA65">
        <f>IF(Source!BI31=4,I57+I58+I60+I61+I62+I63,0)</f>
        <v>0</v>
      </c>
    </row>
    <row r="66" spans="1:27" ht="42.75" x14ac:dyDescent="0.2">
      <c r="A66" s="23" t="str">
        <f>Source!E32</f>
        <v>5</v>
      </c>
      <c r="B66" s="24" t="str">
        <f>Source!F32</f>
        <v>3.34-18-1</v>
      </c>
      <c r="C66" s="24" t="s">
        <v>51</v>
      </c>
      <c r="D66" s="25" t="str">
        <f>Source!H32</f>
        <v>км</v>
      </c>
      <c r="E66" s="10">
        <f>Source!I32</f>
        <v>1.2E-2</v>
      </c>
      <c r="F66" s="27"/>
      <c r="G66" s="26"/>
      <c r="H66" s="10"/>
      <c r="I66" s="28"/>
      <c r="J66" s="10"/>
      <c r="K66" s="28"/>
      <c r="Q66">
        <f>ROUND((Source!DN32/100)*ROUND((ROUND((Source!AF32*Source!AV32*Source!I32),2)),2), 2)</f>
        <v>21.32</v>
      </c>
      <c r="R66">
        <f>Source!X32</f>
        <v>425.31</v>
      </c>
      <c r="S66">
        <f>ROUND((Source!DO32/100)*ROUND((ROUND((Source!AF32*Source!AV32*Source!I32),2)),2), 2)</f>
        <v>13.33</v>
      </c>
      <c r="T66">
        <f>Source!Y32</f>
        <v>193.75</v>
      </c>
      <c r="U66">
        <f>ROUND((175/100)*ROUND((ROUND((Source!AE32*Source!AV32*Source!I32),2)),2), 2)</f>
        <v>0</v>
      </c>
      <c r="V66">
        <f>ROUND((157/100)*ROUND(ROUND((ROUND((Source!AE32*Source!AV32*Source!I32),2)*Source!BS32),2), 2), 2)</f>
        <v>0</v>
      </c>
    </row>
    <row r="67" spans="1:27" ht="14.25" x14ac:dyDescent="0.2">
      <c r="A67" s="23"/>
      <c r="B67" s="24"/>
      <c r="C67" s="24" t="s">
        <v>267</v>
      </c>
      <c r="D67" s="25"/>
      <c r="E67" s="10"/>
      <c r="F67" s="27">
        <f>Source!AO32</f>
        <v>1486.94</v>
      </c>
      <c r="G67" s="26" t="str">
        <f>Source!DG32</f>
        <v/>
      </c>
      <c r="H67" s="10">
        <f>Source!AV32</f>
        <v>1.0669999999999999</v>
      </c>
      <c r="I67" s="28">
        <f>ROUND((ROUND((Source!AF32*Source!AV32*Source!I32),2)),2)</f>
        <v>19.04</v>
      </c>
      <c r="J67" s="10">
        <f>IF(Source!BA32&lt;&gt; 0, Source!BA32, 1)</f>
        <v>24.82</v>
      </c>
      <c r="K67" s="28">
        <f>Source!S32</f>
        <v>472.57</v>
      </c>
      <c r="W67">
        <f>I67</f>
        <v>19.04</v>
      </c>
    </row>
    <row r="68" spans="1:27" ht="14.25" x14ac:dyDescent="0.2">
      <c r="A68" s="23"/>
      <c r="B68" s="24"/>
      <c r="C68" s="24" t="s">
        <v>276</v>
      </c>
      <c r="D68" s="25"/>
      <c r="E68" s="10"/>
      <c r="F68" s="27">
        <f>Source!AL32</f>
        <v>44.38</v>
      </c>
      <c r="G68" s="26" t="str">
        <f>Source!DD32</f>
        <v/>
      </c>
      <c r="H68" s="10">
        <f>Source!AW32</f>
        <v>1.081</v>
      </c>
      <c r="I68" s="28">
        <f>ROUND((ROUND((Source!AC32*Source!AW32*Source!I32),2)),2)</f>
        <v>0.57999999999999996</v>
      </c>
      <c r="J68" s="10">
        <f>IF(Source!BC32&lt;&gt; 0, Source!BC32, 1)</f>
        <v>5.29</v>
      </c>
      <c r="K68" s="28">
        <f>Source!P32</f>
        <v>3.07</v>
      </c>
    </row>
    <row r="69" spans="1:27" ht="14.25" x14ac:dyDescent="0.2">
      <c r="A69" s="23"/>
      <c r="B69" s="24"/>
      <c r="C69" s="24" t="s">
        <v>268</v>
      </c>
      <c r="D69" s="25" t="s">
        <v>269</v>
      </c>
      <c r="E69" s="10">
        <f>Source!DN32</f>
        <v>112</v>
      </c>
      <c r="F69" s="27"/>
      <c r="G69" s="26"/>
      <c r="H69" s="10"/>
      <c r="I69" s="28">
        <f>SUM(Q66:Q68)</f>
        <v>21.32</v>
      </c>
      <c r="J69" s="10">
        <f>Source!BZ32</f>
        <v>90</v>
      </c>
      <c r="K69" s="28">
        <f>SUM(R66:R68)</f>
        <v>425.31</v>
      </c>
    </row>
    <row r="70" spans="1:27" ht="14.25" x14ac:dyDescent="0.2">
      <c r="A70" s="23"/>
      <c r="B70" s="24"/>
      <c r="C70" s="24" t="s">
        <v>270</v>
      </c>
      <c r="D70" s="25" t="s">
        <v>269</v>
      </c>
      <c r="E70" s="10">
        <f>Source!DO32</f>
        <v>70</v>
      </c>
      <c r="F70" s="27"/>
      <c r="G70" s="26"/>
      <c r="H70" s="10"/>
      <c r="I70" s="28">
        <f>SUM(S66:S69)</f>
        <v>13.33</v>
      </c>
      <c r="J70" s="10">
        <f>Source!CA32</f>
        <v>41</v>
      </c>
      <c r="K70" s="28">
        <f>SUM(T66:T69)</f>
        <v>193.75</v>
      </c>
    </row>
    <row r="71" spans="1:27" ht="14.25" x14ac:dyDescent="0.2">
      <c r="A71" s="23"/>
      <c r="B71" s="24"/>
      <c r="C71" s="24" t="s">
        <v>271</v>
      </c>
      <c r="D71" s="25" t="s">
        <v>272</v>
      </c>
      <c r="E71" s="10">
        <f>Source!AQ32</f>
        <v>133</v>
      </c>
      <c r="F71" s="27"/>
      <c r="G71" s="26" t="str">
        <f>Source!DI32</f>
        <v/>
      </c>
      <c r="H71" s="10">
        <f>Source!AV32</f>
        <v>1.0669999999999999</v>
      </c>
      <c r="I71" s="28">
        <f>Source!U32</f>
        <v>1.7029320000000001</v>
      </c>
      <c r="J71" s="10"/>
      <c r="K71" s="28"/>
    </row>
    <row r="72" spans="1:27" ht="15" x14ac:dyDescent="0.25">
      <c r="A72" s="31"/>
      <c r="B72" s="31"/>
      <c r="C72" s="31"/>
      <c r="D72" s="31"/>
      <c r="E72" s="31"/>
      <c r="F72" s="31"/>
      <c r="G72" s="31"/>
      <c r="H72" s="58">
        <f>I67+I68+I69+I70</f>
        <v>54.269999999999996</v>
      </c>
      <c r="I72" s="58"/>
      <c r="J72" s="58">
        <f>K67+K68+K69+K70</f>
        <v>1094.7</v>
      </c>
      <c r="K72" s="58"/>
      <c r="O72" s="30">
        <f>I67+I68+I69+I70</f>
        <v>54.269999999999996</v>
      </c>
      <c r="P72" s="30">
        <f>K67+K68+K69+K70</f>
        <v>1094.7</v>
      </c>
      <c r="X72">
        <f>IF(Source!BI32&lt;=1,I67+I68+I69+I70-0, 0)</f>
        <v>54.269999999999996</v>
      </c>
      <c r="Y72">
        <f>IF(Source!BI32=2,I67+I68+I69+I70-0, 0)</f>
        <v>0</v>
      </c>
      <c r="Z72">
        <f>IF(Source!BI32=3,I67+I68+I69+I70-0, 0)</f>
        <v>0</v>
      </c>
      <c r="AA72">
        <f>IF(Source!BI32=4,I67+I68+I69+I70,0)</f>
        <v>0</v>
      </c>
    </row>
    <row r="73" spans="1:27" ht="114" x14ac:dyDescent="0.2">
      <c r="A73" s="23" t="str">
        <f>Source!E33</f>
        <v>6</v>
      </c>
      <c r="B73" s="24" t="str">
        <f>Source!F33</f>
        <v>4.8-75-6</v>
      </c>
      <c r="C73" s="24" t="s">
        <v>58</v>
      </c>
      <c r="D73" s="25" t="str">
        <f>Source!H33</f>
        <v>100 м</v>
      </c>
      <c r="E73" s="10">
        <f>Source!I33</f>
        <v>0.65</v>
      </c>
      <c r="F73" s="27"/>
      <c r="G73" s="26"/>
      <c r="H73" s="10"/>
      <c r="I73" s="28"/>
      <c r="J73" s="10"/>
      <c r="K73" s="28"/>
      <c r="Q73">
        <f>ROUND((Source!DN33/100)*ROUND((ROUND((Source!AF33*Source!AV33*Source!I33),2)),2), 2)</f>
        <v>34.630000000000003</v>
      </c>
      <c r="R73">
        <f>Source!X33</f>
        <v>580.6</v>
      </c>
      <c r="S73">
        <f>ROUND((Source!DO33/100)*ROUND((ROUND((Source!AF33*Source!AV33*Source!I33),2)),2), 2)</f>
        <v>20.350000000000001</v>
      </c>
      <c r="T73">
        <f>Source!Y33</f>
        <v>309.14999999999998</v>
      </c>
      <c r="U73">
        <f>ROUND((175/100)*ROUND((ROUND((Source!AE33*Source!AV33*Source!I33),2)),2), 2)</f>
        <v>2.35</v>
      </c>
      <c r="V73">
        <f>ROUND((157/100)*ROUND(ROUND((ROUND((Source!AE33*Source!AV33*Source!I33),2)*Source!BS33),2), 2), 2)</f>
        <v>52.22</v>
      </c>
    </row>
    <row r="74" spans="1:27" x14ac:dyDescent="0.2">
      <c r="C74" s="29" t="str">
        <f>"Объем: "&amp;Source!I33&amp;"=65/"&amp;"100"</f>
        <v>Объем: 0,65=65/100</v>
      </c>
    </row>
    <row r="75" spans="1:27" ht="14.25" x14ac:dyDescent="0.2">
      <c r="A75" s="23"/>
      <c r="B75" s="24"/>
      <c r="C75" s="24" t="s">
        <v>267</v>
      </c>
      <c r="D75" s="25"/>
      <c r="E75" s="10"/>
      <c r="F75" s="27">
        <f>Source!AO33</f>
        <v>43.8</v>
      </c>
      <c r="G75" s="26" t="str">
        <f>Source!DG33</f>
        <v/>
      </c>
      <c r="H75" s="10">
        <f>Source!AV33</f>
        <v>1.0669999999999999</v>
      </c>
      <c r="I75" s="28">
        <f>ROUND((ROUND((Source!AF33*Source!AV33*Source!I33),2)),2)</f>
        <v>30.38</v>
      </c>
      <c r="J75" s="10">
        <f>IF(Source!BA33&lt;&gt; 0, Source!BA33, 1)</f>
        <v>24.82</v>
      </c>
      <c r="K75" s="28">
        <f>Source!S33</f>
        <v>754.03</v>
      </c>
      <c r="W75">
        <f>I75</f>
        <v>30.38</v>
      </c>
    </row>
    <row r="76" spans="1:27" ht="14.25" x14ac:dyDescent="0.2">
      <c r="A76" s="23"/>
      <c r="B76" s="24"/>
      <c r="C76" s="24" t="s">
        <v>273</v>
      </c>
      <c r="D76" s="25"/>
      <c r="E76" s="10"/>
      <c r="F76" s="27">
        <f>Source!AM33</f>
        <v>8.19</v>
      </c>
      <c r="G76" s="26" t="str">
        <f>Source!DE33</f>
        <v/>
      </c>
      <c r="H76" s="10">
        <f>Source!AV33</f>
        <v>1.0669999999999999</v>
      </c>
      <c r="I76" s="28">
        <f>(ROUND((ROUND(((Source!ET33)*Source!AV33*Source!I33),2)),2)+ROUND((ROUND(((Source!AE33-(Source!EU33))*Source!AV33*Source!I33),2)),2))</f>
        <v>5.68</v>
      </c>
      <c r="J76" s="10">
        <f>IF(Source!BB33&lt;&gt; 0, Source!BB33, 1)</f>
        <v>9.77</v>
      </c>
      <c r="K76" s="28">
        <f>Source!Q33</f>
        <v>55.49</v>
      </c>
    </row>
    <row r="77" spans="1:27" ht="14.25" x14ac:dyDescent="0.2">
      <c r="A77" s="23"/>
      <c r="B77" s="24"/>
      <c r="C77" s="24" t="s">
        <v>274</v>
      </c>
      <c r="D77" s="25"/>
      <c r="E77" s="10"/>
      <c r="F77" s="27">
        <f>Source!AN33</f>
        <v>1.93</v>
      </c>
      <c r="G77" s="26" t="str">
        <f>Source!DF33</f>
        <v/>
      </c>
      <c r="H77" s="10">
        <f>Source!AV33</f>
        <v>1.0669999999999999</v>
      </c>
      <c r="I77" s="32">
        <f>ROUND((ROUND((Source!AE33*Source!AV33*Source!I33),2)),2)</f>
        <v>1.34</v>
      </c>
      <c r="J77" s="10">
        <f>IF(Source!BS33&lt;&gt; 0, Source!BS33, 1)</f>
        <v>24.82</v>
      </c>
      <c r="K77" s="32">
        <f>Source!R33</f>
        <v>33.26</v>
      </c>
      <c r="W77">
        <f>I77</f>
        <v>1.34</v>
      </c>
    </row>
    <row r="78" spans="1:27" ht="57" x14ac:dyDescent="0.2">
      <c r="A78" s="23" t="str">
        <f>Source!E34</f>
        <v>6,1</v>
      </c>
      <c r="B78" s="24" t="str">
        <f>Source!F34</f>
        <v>1.1-1-3459</v>
      </c>
      <c r="C78" s="24" t="s">
        <v>64</v>
      </c>
      <c r="D78" s="25" t="str">
        <f>Source!H34</f>
        <v>шт.</v>
      </c>
      <c r="E78" s="10">
        <f>Source!I34</f>
        <v>133.9</v>
      </c>
      <c r="F78" s="27">
        <f>Source!AK34</f>
        <v>8.82</v>
      </c>
      <c r="G78" s="33" t="s">
        <v>3</v>
      </c>
      <c r="H78" s="10">
        <f>Source!AW34</f>
        <v>1.081</v>
      </c>
      <c r="I78" s="28">
        <f>ROUND((ROUND((Source!AC34*Source!AW34*Source!I34),2)),2)+(ROUND((ROUND(((Source!ET34)*Source!AV34*Source!I34),2)),2)+ROUND((ROUND(((Source!AE34-(Source!EU34))*Source!AV34*Source!I34),2)),2))+ROUND((ROUND((Source!AF34*Source!AV34*Source!I34),2)),2)</f>
        <v>1276.6600000000001</v>
      </c>
      <c r="J78" s="10">
        <f>IF(Source!BC34&lt;&gt; 0, Source!BC34, 1)</f>
        <v>6.35</v>
      </c>
      <c r="K78" s="28">
        <f>Source!O34</f>
        <v>8106.79</v>
      </c>
      <c r="Q78">
        <f>ROUND((Source!DN34/100)*ROUND((ROUND((Source!AF34*Source!AV34*Source!I34),2)),2), 2)</f>
        <v>0</v>
      </c>
      <c r="R78">
        <f>Source!X34</f>
        <v>0</v>
      </c>
      <c r="S78">
        <f>ROUND((Source!DO34/100)*ROUND((ROUND((Source!AF34*Source!AV34*Source!I34),2)),2), 2)</f>
        <v>0</v>
      </c>
      <c r="T78">
        <f>Source!Y34</f>
        <v>0</v>
      </c>
      <c r="U78">
        <f>ROUND((175/100)*ROUND((ROUND((Source!AE34*Source!AV34*Source!I34),2)),2), 2)</f>
        <v>0</v>
      </c>
      <c r="V78">
        <f>ROUND((157/100)*ROUND(ROUND((ROUND((Source!AE34*Source!AV34*Source!I34),2)*Source!BS34),2), 2), 2)</f>
        <v>0</v>
      </c>
      <c r="X78">
        <f>IF(Source!BI34&lt;=1,I78, 0)</f>
        <v>0</v>
      </c>
      <c r="Y78">
        <f>IF(Source!BI34=2,I78, 0)</f>
        <v>1276.6600000000001</v>
      </c>
      <c r="Z78">
        <f>IF(Source!BI34=3,I78, 0)</f>
        <v>0</v>
      </c>
      <c r="AA78">
        <f>IF(Source!BI34=4,I78, 0)</f>
        <v>0</v>
      </c>
    </row>
    <row r="79" spans="1:27" ht="14.25" x14ac:dyDescent="0.2">
      <c r="A79" s="23"/>
      <c r="B79" s="24"/>
      <c r="C79" s="24" t="s">
        <v>268</v>
      </c>
      <c r="D79" s="25" t="s">
        <v>269</v>
      </c>
      <c r="E79" s="10">
        <f>Source!DN33</f>
        <v>114</v>
      </c>
      <c r="F79" s="27"/>
      <c r="G79" s="26"/>
      <c r="H79" s="10"/>
      <c r="I79" s="28">
        <f>SUM(Q73:Q78)</f>
        <v>34.630000000000003</v>
      </c>
      <c r="J79" s="10">
        <f>Source!BZ33</f>
        <v>77</v>
      </c>
      <c r="K79" s="28">
        <f>SUM(R73:R78)</f>
        <v>580.6</v>
      </c>
    </row>
    <row r="80" spans="1:27" ht="14.25" x14ac:dyDescent="0.2">
      <c r="A80" s="23"/>
      <c r="B80" s="24"/>
      <c r="C80" s="24" t="s">
        <v>270</v>
      </c>
      <c r="D80" s="25" t="s">
        <v>269</v>
      </c>
      <c r="E80" s="10">
        <f>Source!DO33</f>
        <v>67</v>
      </c>
      <c r="F80" s="27"/>
      <c r="G80" s="26"/>
      <c r="H80" s="10"/>
      <c r="I80" s="28">
        <f>SUM(S73:S79)</f>
        <v>20.350000000000001</v>
      </c>
      <c r="J80" s="10">
        <f>Source!CA33</f>
        <v>41</v>
      </c>
      <c r="K80" s="28">
        <f>SUM(T73:T79)</f>
        <v>309.14999999999998</v>
      </c>
    </row>
    <row r="81" spans="1:27" ht="14.25" x14ac:dyDescent="0.2">
      <c r="A81" s="23"/>
      <c r="B81" s="24"/>
      <c r="C81" s="24" t="s">
        <v>275</v>
      </c>
      <c r="D81" s="25" t="s">
        <v>269</v>
      </c>
      <c r="E81" s="10">
        <f>175</f>
        <v>175</v>
      </c>
      <c r="F81" s="27"/>
      <c r="G81" s="26"/>
      <c r="H81" s="10"/>
      <c r="I81" s="28">
        <f>SUM(U73:U80)</f>
        <v>2.35</v>
      </c>
      <c r="J81" s="10">
        <f>157</f>
        <v>157</v>
      </c>
      <c r="K81" s="28">
        <f>SUM(V73:V80)</f>
        <v>52.22</v>
      </c>
    </row>
    <row r="82" spans="1:27" ht="14.25" x14ac:dyDescent="0.2">
      <c r="A82" s="23"/>
      <c r="B82" s="24"/>
      <c r="C82" s="24" t="s">
        <v>271</v>
      </c>
      <c r="D82" s="25" t="s">
        <v>272</v>
      </c>
      <c r="E82" s="10">
        <f>Source!AQ33</f>
        <v>4.16</v>
      </c>
      <c r="F82" s="27"/>
      <c r="G82" s="26" t="str">
        <f>Source!DI33</f>
        <v/>
      </c>
      <c r="H82" s="10">
        <f>Source!AV33</f>
        <v>1.0669999999999999</v>
      </c>
      <c r="I82" s="28">
        <f>Source!U33</f>
        <v>2.8851680000000002</v>
      </c>
      <c r="J82" s="10"/>
      <c r="K82" s="28"/>
    </row>
    <row r="83" spans="1:27" ht="15" x14ac:dyDescent="0.25">
      <c r="A83" s="31"/>
      <c r="B83" s="31"/>
      <c r="C83" s="31"/>
      <c r="D83" s="31"/>
      <c r="E83" s="31"/>
      <c r="F83" s="31"/>
      <c r="G83" s="31"/>
      <c r="H83" s="58">
        <f>I75+I76+I79+I80+I81+SUM(I78:I78)</f>
        <v>1370.0500000000002</v>
      </c>
      <c r="I83" s="58"/>
      <c r="J83" s="58">
        <f>K75+K76+K79+K80+K81+SUM(K78:K78)</f>
        <v>9858.2800000000007</v>
      </c>
      <c r="K83" s="58"/>
      <c r="O83" s="30">
        <f>I75+I76+I79+I80+I81+SUM(I78:I78)</f>
        <v>1370.0500000000002</v>
      </c>
      <c r="P83" s="30">
        <f>K75+K76+K79+K80+K81+SUM(K78:K78)</f>
        <v>9858.2800000000007</v>
      </c>
      <c r="X83">
        <f>IF(Source!BI33&lt;=1,I75+I76+I79+I80+I81-0, 0)</f>
        <v>0</v>
      </c>
      <c r="Y83">
        <f>IF(Source!BI33=2,I75+I76+I79+I80+I81-0, 0)</f>
        <v>93.389999999999986</v>
      </c>
      <c r="Z83">
        <f>IF(Source!BI33=3,I75+I76+I79+I80+I81-0, 0)</f>
        <v>0</v>
      </c>
      <c r="AA83">
        <f>IF(Source!BI33=4,I75+I76+I79+I80+I81,0)</f>
        <v>0</v>
      </c>
    </row>
    <row r="84" spans="1:27" ht="71.25" x14ac:dyDescent="0.2">
      <c r="A84" s="23" t="str">
        <f>Source!E35</f>
        <v>7</v>
      </c>
      <c r="B84" s="24" t="str">
        <f>Source!F35</f>
        <v>3.1-29-2</v>
      </c>
      <c r="C84" s="24" t="s">
        <v>69</v>
      </c>
      <c r="D84" s="25" t="str">
        <f>Source!H35</f>
        <v>100 м3</v>
      </c>
      <c r="E84" s="10">
        <f>Source!I35</f>
        <v>0.23400000000000001</v>
      </c>
      <c r="F84" s="27"/>
      <c r="G84" s="26"/>
      <c r="H84" s="10"/>
      <c r="I84" s="28"/>
      <c r="J84" s="10"/>
      <c r="K84" s="28"/>
      <c r="Q84">
        <f>ROUND((Source!DN35/100)*ROUND((ROUND((Source!AF35*Source!AV35*Source!I35),2)),2), 2)</f>
        <v>34.619999999999997</v>
      </c>
      <c r="R84">
        <f>Source!X35</f>
        <v>806.74</v>
      </c>
      <c r="S84">
        <f>ROUND((Source!DO35/100)*ROUND((ROUND((Source!AF35*Source!AV35*Source!I35),2)),2), 2)</f>
        <v>27.2</v>
      </c>
      <c r="T84">
        <f>Source!Y35</f>
        <v>438.45</v>
      </c>
      <c r="U84">
        <f>ROUND((175/100)*ROUND((ROUND((Source!AE35*Source!AV35*Source!I35),2)),2), 2)</f>
        <v>99.52</v>
      </c>
      <c r="V84">
        <f>ROUND((157/100)*ROUND(ROUND((ROUND((Source!AE35*Source!AV35*Source!I35),2)*Source!BS35),2), 2), 2)</f>
        <v>2216.0700000000002</v>
      </c>
    </row>
    <row r="85" spans="1:27" ht="14.25" x14ac:dyDescent="0.2">
      <c r="A85" s="23"/>
      <c r="B85" s="24"/>
      <c r="C85" s="24" t="s">
        <v>267</v>
      </c>
      <c r="D85" s="25"/>
      <c r="E85" s="10"/>
      <c r="F85" s="27">
        <f>Source!AO35</f>
        <v>144.22</v>
      </c>
      <c r="G85" s="26" t="str">
        <f>Source!DG35</f>
        <v/>
      </c>
      <c r="H85" s="10">
        <f>Source!AV35</f>
        <v>1.0469999999999999</v>
      </c>
      <c r="I85" s="28">
        <f>ROUND((ROUND((Source!AF35*Source!AV35*Source!I35),2)),2)</f>
        <v>35.33</v>
      </c>
      <c r="J85" s="10">
        <f>IF(Source!BA35&lt;&gt; 0, Source!BA35, 1)</f>
        <v>24.82</v>
      </c>
      <c r="K85" s="28">
        <f>Source!S35</f>
        <v>876.89</v>
      </c>
      <c r="W85">
        <f>I85</f>
        <v>35.33</v>
      </c>
    </row>
    <row r="86" spans="1:27" ht="14.25" x14ac:dyDescent="0.2">
      <c r="A86" s="23"/>
      <c r="B86" s="24"/>
      <c r="C86" s="24" t="s">
        <v>273</v>
      </c>
      <c r="D86" s="25"/>
      <c r="E86" s="10"/>
      <c r="F86" s="27">
        <f>Source!AM35</f>
        <v>766.63</v>
      </c>
      <c r="G86" s="26" t="str">
        <f>Source!DE35</f>
        <v/>
      </c>
      <c r="H86" s="10">
        <f>Source!AV35</f>
        <v>1.0469999999999999</v>
      </c>
      <c r="I86" s="28">
        <f>(ROUND((ROUND(((Source!ET35)*Source!AV35*Source!I35),2)),2)+ROUND((ROUND(((Source!AE35-(Source!EU35))*Source!AV35*Source!I35),2)),2))</f>
        <v>187.82</v>
      </c>
      <c r="J86" s="10">
        <f>IF(Source!BB35&lt;&gt; 0, Source!BB35, 1)</f>
        <v>12.19</v>
      </c>
      <c r="K86" s="28">
        <f>Source!Q35</f>
        <v>2289.5300000000002</v>
      </c>
    </row>
    <row r="87" spans="1:27" ht="14.25" x14ac:dyDescent="0.2">
      <c r="A87" s="23"/>
      <c r="B87" s="24"/>
      <c r="C87" s="24" t="s">
        <v>274</v>
      </c>
      <c r="D87" s="25"/>
      <c r="E87" s="10"/>
      <c r="F87" s="27">
        <f>Source!AN35</f>
        <v>232.13</v>
      </c>
      <c r="G87" s="26" t="str">
        <f>Source!DF35</f>
        <v/>
      </c>
      <c r="H87" s="10">
        <f>Source!AV35</f>
        <v>1.0469999999999999</v>
      </c>
      <c r="I87" s="32">
        <f>ROUND((ROUND((Source!AE35*Source!AV35*Source!I35),2)),2)</f>
        <v>56.87</v>
      </c>
      <c r="J87" s="10">
        <f>IF(Source!BS35&lt;&gt; 0, Source!BS35, 1)</f>
        <v>24.82</v>
      </c>
      <c r="K87" s="32">
        <f>Source!R35</f>
        <v>1411.51</v>
      </c>
      <c r="W87">
        <f>I87</f>
        <v>56.87</v>
      </c>
    </row>
    <row r="88" spans="1:27" ht="14.25" x14ac:dyDescent="0.2">
      <c r="A88" s="23"/>
      <c r="B88" s="24"/>
      <c r="C88" s="24" t="s">
        <v>268</v>
      </c>
      <c r="D88" s="25" t="s">
        <v>269</v>
      </c>
      <c r="E88" s="10">
        <f>Source!DN35</f>
        <v>98</v>
      </c>
      <c r="F88" s="27"/>
      <c r="G88" s="26"/>
      <c r="H88" s="10"/>
      <c r="I88" s="28">
        <f>SUM(Q84:Q87)</f>
        <v>34.619999999999997</v>
      </c>
      <c r="J88" s="10">
        <f>Source!BZ35</f>
        <v>92</v>
      </c>
      <c r="K88" s="28">
        <f>SUM(R84:R87)</f>
        <v>806.74</v>
      </c>
    </row>
    <row r="89" spans="1:27" ht="14.25" x14ac:dyDescent="0.2">
      <c r="A89" s="23"/>
      <c r="B89" s="24"/>
      <c r="C89" s="24" t="s">
        <v>270</v>
      </c>
      <c r="D89" s="25" t="s">
        <v>269</v>
      </c>
      <c r="E89" s="10">
        <f>Source!DO35</f>
        <v>77</v>
      </c>
      <c r="F89" s="27"/>
      <c r="G89" s="26"/>
      <c r="H89" s="10"/>
      <c r="I89" s="28">
        <f>SUM(S84:S88)</f>
        <v>27.2</v>
      </c>
      <c r="J89" s="10">
        <f>Source!CA35</f>
        <v>50</v>
      </c>
      <c r="K89" s="28">
        <f>SUM(T84:T88)</f>
        <v>438.45</v>
      </c>
    </row>
    <row r="90" spans="1:27" ht="14.25" x14ac:dyDescent="0.2">
      <c r="A90" s="23"/>
      <c r="B90" s="24"/>
      <c r="C90" s="24" t="s">
        <v>275</v>
      </c>
      <c r="D90" s="25" t="s">
        <v>269</v>
      </c>
      <c r="E90" s="10">
        <f>175</f>
        <v>175</v>
      </c>
      <c r="F90" s="27"/>
      <c r="G90" s="26"/>
      <c r="H90" s="10"/>
      <c r="I90" s="28">
        <f>SUM(U84:U89)</f>
        <v>99.52</v>
      </c>
      <c r="J90" s="10">
        <f>157</f>
        <v>157</v>
      </c>
      <c r="K90" s="28">
        <f>SUM(V84:V89)</f>
        <v>2216.0700000000002</v>
      </c>
    </row>
    <row r="91" spans="1:27" ht="14.25" x14ac:dyDescent="0.2">
      <c r="A91" s="23"/>
      <c r="B91" s="24"/>
      <c r="C91" s="24" t="s">
        <v>271</v>
      </c>
      <c r="D91" s="25" t="s">
        <v>272</v>
      </c>
      <c r="E91" s="10">
        <f>Source!AQ35</f>
        <v>12.9</v>
      </c>
      <c r="F91" s="27"/>
      <c r="G91" s="26" t="str">
        <f>Source!DI35</f>
        <v/>
      </c>
      <c r="H91" s="10">
        <f>Source!AV35</f>
        <v>1.0469999999999999</v>
      </c>
      <c r="I91" s="28">
        <f>Source!U35</f>
        <v>3.1604741999999999</v>
      </c>
      <c r="J91" s="10"/>
      <c r="K91" s="28"/>
    </row>
    <row r="92" spans="1:27" ht="15" x14ac:dyDescent="0.25">
      <c r="A92" s="31"/>
      <c r="B92" s="31"/>
      <c r="C92" s="31"/>
      <c r="D92" s="31"/>
      <c r="E92" s="31"/>
      <c r="F92" s="31"/>
      <c r="G92" s="31"/>
      <c r="H92" s="58">
        <f>I85+I86+I88+I89+I90</f>
        <v>384.48999999999995</v>
      </c>
      <c r="I92" s="58"/>
      <c r="J92" s="58">
        <f>K85+K86+K88+K89+K90</f>
        <v>6627.68</v>
      </c>
      <c r="K92" s="58"/>
      <c r="O92" s="30">
        <f>I85+I86+I88+I89+I90</f>
        <v>384.48999999999995</v>
      </c>
      <c r="P92" s="30">
        <f>K85+K86+K88+K89+K90</f>
        <v>6627.68</v>
      </c>
      <c r="X92">
        <f>IF(Source!BI35&lt;=1,I85+I86+I88+I89+I90-0, 0)</f>
        <v>384.48999999999995</v>
      </c>
      <c r="Y92">
        <f>IF(Source!BI35=2,I85+I86+I88+I89+I90-0, 0)</f>
        <v>0</v>
      </c>
      <c r="Z92">
        <f>IF(Source!BI35=3,I85+I86+I88+I89+I90-0, 0)</f>
        <v>0</v>
      </c>
      <c r="AA92">
        <f>IF(Source!BI35=4,I85+I86+I88+I89+I90,0)</f>
        <v>0</v>
      </c>
    </row>
    <row r="94" spans="1:27" ht="15" x14ac:dyDescent="0.25">
      <c r="A94" s="56" t="str">
        <f>CONCATENATE("Итого по разделу: ",IF(Source!G37&lt;&gt;"Новый раздел", Source!G37, ""))</f>
        <v>Итого по разделу: Земляные работы.</v>
      </c>
      <c r="B94" s="56"/>
      <c r="C94" s="56"/>
      <c r="D94" s="56"/>
      <c r="E94" s="56"/>
      <c r="F94" s="56"/>
      <c r="G94" s="56"/>
      <c r="H94" s="54">
        <f>SUM(O35:O93)</f>
        <v>5045.7999999999993</v>
      </c>
      <c r="I94" s="55"/>
      <c r="J94" s="54">
        <f>SUM(P35:P93)</f>
        <v>80554.070000000007</v>
      </c>
      <c r="K94" s="55"/>
    </row>
    <row r="95" spans="1:27" hidden="1" x14ac:dyDescent="0.2">
      <c r="A95" t="s">
        <v>277</v>
      </c>
      <c r="H95">
        <f>SUM(AC35:AC94)</f>
        <v>0</v>
      </c>
      <c r="J95">
        <f>SUM(AD35:AD94)</f>
        <v>0</v>
      </c>
    </row>
    <row r="96" spans="1:27" hidden="1" x14ac:dyDescent="0.2">
      <c r="A96" t="s">
        <v>278</v>
      </c>
      <c r="H96">
        <f>SUM(AE35:AE95)</f>
        <v>0</v>
      </c>
      <c r="J96">
        <f>SUM(AF35:AF95)</f>
        <v>0</v>
      </c>
    </row>
    <row r="98" spans="1:27" ht="16.5" x14ac:dyDescent="0.25">
      <c r="A98" s="57" t="str">
        <f>CONCATENATE("Раздел: ",IF(Source!G67&lt;&gt;"Новый раздел", Source!G67, ""))</f>
        <v>Раздел: Электромонтажные работы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</row>
    <row r="99" spans="1:27" ht="42.75" x14ac:dyDescent="0.2">
      <c r="A99" s="23" t="str">
        <f>Source!E71</f>
        <v>8</v>
      </c>
      <c r="B99" s="24" t="str">
        <f>Source!F71</f>
        <v>4.8-73-4</v>
      </c>
      <c r="C99" s="24" t="s">
        <v>130</v>
      </c>
      <c r="D99" s="25" t="str">
        <f>Source!H71</f>
        <v>100 м</v>
      </c>
      <c r="E99" s="10">
        <f>Source!I71</f>
        <v>0.66300000000000003</v>
      </c>
      <c r="F99" s="27"/>
      <c r="G99" s="26"/>
      <c r="H99" s="10"/>
      <c r="I99" s="28"/>
      <c r="J99" s="10"/>
      <c r="K99" s="28"/>
      <c r="Q99">
        <f>ROUND((Source!DN71/100)*ROUND((ROUND((Source!AF71*Source!AV71*Source!I71),2)),2), 2)</f>
        <v>186.94</v>
      </c>
      <c r="R99">
        <f>Source!X71</f>
        <v>3133.88</v>
      </c>
      <c r="S99">
        <f>ROUND((Source!DO71/100)*ROUND((ROUND((Source!AF71*Source!AV71*Source!I71),2)),2), 2)</f>
        <v>109.87</v>
      </c>
      <c r="T99">
        <f>Source!Y71</f>
        <v>1668.69</v>
      </c>
      <c r="U99">
        <f>ROUND((175/100)*ROUND((ROUND((Source!AE71*Source!AV71*Source!I71),2)),2), 2)</f>
        <v>127.14</v>
      </c>
      <c r="V99">
        <f>ROUND((157/100)*ROUND(ROUND((ROUND((Source!AE71*Source!AV71*Source!I71),2)*Source!BS71),2), 2), 2)</f>
        <v>2830.98</v>
      </c>
    </row>
    <row r="100" spans="1:27" x14ac:dyDescent="0.2">
      <c r="C100" s="29" t="str">
        <f>"Объем: "&amp;Source!I71&amp;"=(65*"&amp;"1,02)/"&amp;"100"</f>
        <v>Объем: 0,663=(65*1,02)/100</v>
      </c>
    </row>
    <row r="101" spans="1:27" ht="14.25" x14ac:dyDescent="0.2">
      <c r="A101" s="23"/>
      <c r="B101" s="24"/>
      <c r="C101" s="24" t="s">
        <v>267</v>
      </c>
      <c r="D101" s="25"/>
      <c r="E101" s="10"/>
      <c r="F101" s="27">
        <f>Source!AO71</f>
        <v>231.8</v>
      </c>
      <c r="G101" s="26" t="str">
        <f>Source!DG71</f>
        <v/>
      </c>
      <c r="H101" s="10">
        <f>Source!AV71</f>
        <v>1.0669999999999999</v>
      </c>
      <c r="I101" s="28">
        <f>ROUND((ROUND((Source!AF71*Source!AV71*Source!I71),2)),2)</f>
        <v>163.98</v>
      </c>
      <c r="J101" s="10">
        <f>IF(Source!BA71&lt;&gt; 0, Source!BA71, 1)</f>
        <v>24.82</v>
      </c>
      <c r="K101" s="28">
        <f>Source!S71</f>
        <v>4069.98</v>
      </c>
      <c r="W101">
        <f>I101</f>
        <v>163.98</v>
      </c>
    </row>
    <row r="102" spans="1:27" ht="14.25" x14ac:dyDescent="0.2">
      <c r="A102" s="23"/>
      <c r="B102" s="24"/>
      <c r="C102" s="24" t="s">
        <v>273</v>
      </c>
      <c r="D102" s="25"/>
      <c r="E102" s="10"/>
      <c r="F102" s="27">
        <f>Source!AM71</f>
        <v>601.29</v>
      </c>
      <c r="G102" s="26" t="str">
        <f>Source!DE71</f>
        <v/>
      </c>
      <c r="H102" s="10">
        <f>Source!AV71</f>
        <v>1.0669999999999999</v>
      </c>
      <c r="I102" s="28">
        <f>(ROUND((ROUND(((Source!ET71)*Source!AV71*Source!I71),2)),2)+ROUND((ROUND(((Source!AE71-(Source!EU71))*Source!AV71*Source!I71),2)),2))</f>
        <v>425.37</v>
      </c>
      <c r="J102" s="10">
        <f>IF(Source!BB71&lt;&gt; 0, Source!BB71, 1)</f>
        <v>5.95</v>
      </c>
      <c r="K102" s="28">
        <f>Source!Q71</f>
        <v>2530.9499999999998</v>
      </c>
    </row>
    <row r="103" spans="1:27" ht="14.25" x14ac:dyDescent="0.2">
      <c r="A103" s="23"/>
      <c r="B103" s="24"/>
      <c r="C103" s="24" t="s">
        <v>274</v>
      </c>
      <c r="D103" s="25"/>
      <c r="E103" s="10"/>
      <c r="F103" s="27">
        <f>Source!AN71</f>
        <v>102.7</v>
      </c>
      <c r="G103" s="26" t="str">
        <f>Source!DF71</f>
        <v/>
      </c>
      <c r="H103" s="10">
        <f>Source!AV71</f>
        <v>1.0669999999999999</v>
      </c>
      <c r="I103" s="32">
        <f>ROUND((ROUND((Source!AE71*Source!AV71*Source!I71),2)),2)</f>
        <v>72.650000000000006</v>
      </c>
      <c r="J103" s="10">
        <f>IF(Source!BS71&lt;&gt; 0, Source!BS71, 1)</f>
        <v>24.82</v>
      </c>
      <c r="K103" s="32">
        <f>Source!R71</f>
        <v>1803.17</v>
      </c>
      <c r="W103">
        <f>I103</f>
        <v>72.650000000000006</v>
      </c>
    </row>
    <row r="104" spans="1:27" ht="14.25" x14ac:dyDescent="0.2">
      <c r="A104" s="23"/>
      <c r="B104" s="24"/>
      <c r="C104" s="24" t="s">
        <v>276</v>
      </c>
      <c r="D104" s="25"/>
      <c r="E104" s="10"/>
      <c r="F104" s="27">
        <f>Source!AL71</f>
        <v>25.83</v>
      </c>
      <c r="G104" s="26" t="str">
        <f>Source!DD71</f>
        <v/>
      </c>
      <c r="H104" s="10">
        <f>Source!AW71</f>
        <v>1.081</v>
      </c>
      <c r="I104" s="28">
        <f>ROUND((ROUND((Source!AC71*Source!AW71*Source!I71),2)),2)</f>
        <v>18.510000000000002</v>
      </c>
      <c r="J104" s="10">
        <f>IF(Source!BC71&lt;&gt; 0, Source!BC71, 1)</f>
        <v>5.29</v>
      </c>
      <c r="K104" s="28">
        <f>Source!P71</f>
        <v>97.92</v>
      </c>
    </row>
    <row r="105" spans="1:27" ht="14.25" x14ac:dyDescent="0.2">
      <c r="A105" s="23"/>
      <c r="B105" s="24"/>
      <c r="C105" s="24" t="s">
        <v>268</v>
      </c>
      <c r="D105" s="25" t="s">
        <v>269</v>
      </c>
      <c r="E105" s="10">
        <f>Source!DN71</f>
        <v>114</v>
      </c>
      <c r="F105" s="27"/>
      <c r="G105" s="26"/>
      <c r="H105" s="10"/>
      <c r="I105" s="28">
        <f>SUM(Q99:Q104)</f>
        <v>186.94</v>
      </c>
      <c r="J105" s="10">
        <f>Source!BZ71</f>
        <v>77</v>
      </c>
      <c r="K105" s="28">
        <f>SUM(R99:R104)</f>
        <v>3133.88</v>
      </c>
    </row>
    <row r="106" spans="1:27" ht="14.25" x14ac:dyDescent="0.2">
      <c r="A106" s="23"/>
      <c r="B106" s="24"/>
      <c r="C106" s="24" t="s">
        <v>270</v>
      </c>
      <c r="D106" s="25" t="s">
        <v>269</v>
      </c>
      <c r="E106" s="10">
        <f>Source!DO71</f>
        <v>67</v>
      </c>
      <c r="F106" s="27"/>
      <c r="G106" s="26"/>
      <c r="H106" s="10"/>
      <c r="I106" s="28">
        <f>SUM(S99:S105)</f>
        <v>109.87</v>
      </c>
      <c r="J106" s="10">
        <f>Source!CA71</f>
        <v>41</v>
      </c>
      <c r="K106" s="28">
        <f>SUM(T99:T105)</f>
        <v>1668.69</v>
      </c>
    </row>
    <row r="107" spans="1:27" ht="14.25" x14ac:dyDescent="0.2">
      <c r="A107" s="23"/>
      <c r="B107" s="24"/>
      <c r="C107" s="24" t="s">
        <v>275</v>
      </c>
      <c r="D107" s="25" t="s">
        <v>269</v>
      </c>
      <c r="E107" s="10">
        <f>175</f>
        <v>175</v>
      </c>
      <c r="F107" s="27"/>
      <c r="G107" s="26"/>
      <c r="H107" s="10"/>
      <c r="I107" s="28">
        <f>SUM(U99:U106)</f>
        <v>127.14</v>
      </c>
      <c r="J107" s="10">
        <f>157</f>
        <v>157</v>
      </c>
      <c r="K107" s="28">
        <f>SUM(V99:V106)</f>
        <v>2830.98</v>
      </c>
    </row>
    <row r="108" spans="1:27" ht="14.25" x14ac:dyDescent="0.2">
      <c r="A108" s="23"/>
      <c r="B108" s="24"/>
      <c r="C108" s="24" t="s">
        <v>271</v>
      </c>
      <c r="D108" s="25" t="s">
        <v>272</v>
      </c>
      <c r="E108" s="10">
        <f>Source!AQ71</f>
        <v>18.8</v>
      </c>
      <c r="F108" s="27"/>
      <c r="G108" s="26" t="str">
        <f>Source!DI71</f>
        <v/>
      </c>
      <c r="H108" s="10">
        <f>Source!AV71</f>
        <v>1.0669999999999999</v>
      </c>
      <c r="I108" s="28">
        <f>Source!U71</f>
        <v>13.299514800000001</v>
      </c>
      <c r="J108" s="10"/>
      <c r="K108" s="28"/>
    </row>
    <row r="109" spans="1:27" ht="15" x14ac:dyDescent="0.25">
      <c r="A109" s="31"/>
      <c r="B109" s="31"/>
      <c r="C109" s="31"/>
      <c r="D109" s="31"/>
      <c r="E109" s="31"/>
      <c r="F109" s="31"/>
      <c r="G109" s="31"/>
      <c r="H109" s="58">
        <f>I101+I102+I104+I105+I106+I107</f>
        <v>1031.81</v>
      </c>
      <c r="I109" s="58"/>
      <c r="J109" s="58">
        <f>K101+K102+K104+K105+K106+K107</f>
        <v>14332.4</v>
      </c>
      <c r="K109" s="58"/>
      <c r="O109" s="30">
        <f>I101+I102+I104+I105+I106+I107</f>
        <v>1031.81</v>
      </c>
      <c r="P109" s="30">
        <f>K101+K102+K104+K105+K106+K107</f>
        <v>14332.4</v>
      </c>
      <c r="X109">
        <f>IF(Source!BI71&lt;=1,I101+I102+I104+I105+I106+I107-0, 0)</f>
        <v>0</v>
      </c>
      <c r="Y109">
        <f>IF(Source!BI71=2,I101+I102+I104+I105+I106+I107-0, 0)</f>
        <v>1031.81</v>
      </c>
      <c r="Z109">
        <f>IF(Source!BI71=3,I101+I102+I104+I105+I106+I107-0, 0)</f>
        <v>0</v>
      </c>
      <c r="AA109">
        <f>IF(Source!BI71=4,I101+I102+I104+I105+I106+I107,0)</f>
        <v>0</v>
      </c>
    </row>
    <row r="110" spans="1:27" ht="42.75" x14ac:dyDescent="0.2">
      <c r="A110" s="23" t="str">
        <f>Source!E72</f>
        <v>9</v>
      </c>
      <c r="B110" s="24" t="str">
        <f>Source!F72</f>
        <v>4.8-80-4</v>
      </c>
      <c r="C110" s="24" t="s">
        <v>134</v>
      </c>
      <c r="D110" s="25" t="str">
        <f>Source!H72</f>
        <v>100 м</v>
      </c>
      <c r="E110" s="10">
        <f>Source!I72</f>
        <v>1.2E-2</v>
      </c>
      <c r="F110" s="27"/>
      <c r="G110" s="26"/>
      <c r="H110" s="10"/>
      <c r="I110" s="28"/>
      <c r="J110" s="10"/>
      <c r="K110" s="28"/>
      <c r="Q110">
        <f>ROUND((Source!DN72/100)*ROUND((ROUND((Source!AF72*Source!AV72*Source!I72),2)),2), 2)</f>
        <v>4.47</v>
      </c>
      <c r="R110">
        <f>Source!X72</f>
        <v>74.91</v>
      </c>
      <c r="S110">
        <f>ROUND((Source!DO72/100)*ROUND((ROUND((Source!AF72*Source!AV72*Source!I72),2)),2), 2)</f>
        <v>2.63</v>
      </c>
      <c r="T110">
        <f>Source!Y72</f>
        <v>39.89</v>
      </c>
      <c r="U110">
        <f>ROUND((175/100)*ROUND((ROUND((Source!AE72*Source!AV72*Source!I72),2)),2), 2)</f>
        <v>0.67</v>
      </c>
      <c r="V110">
        <f>ROUND((157/100)*ROUND(ROUND((ROUND((Source!AE72*Source!AV72*Source!I72),2)*Source!BS72),2), 2), 2)</f>
        <v>14.81</v>
      </c>
    </row>
    <row r="111" spans="1:27" ht="14.25" x14ac:dyDescent="0.2">
      <c r="A111" s="23"/>
      <c r="B111" s="24"/>
      <c r="C111" s="24" t="s">
        <v>267</v>
      </c>
      <c r="D111" s="25"/>
      <c r="E111" s="10"/>
      <c r="F111" s="27">
        <f>Source!AO72</f>
        <v>305.77999999999997</v>
      </c>
      <c r="G111" s="26" t="str">
        <f>Source!DG72</f>
        <v/>
      </c>
      <c r="H111" s="10">
        <f>Source!AV72</f>
        <v>1.0669999999999999</v>
      </c>
      <c r="I111" s="28">
        <f>ROUND((ROUND((Source!AF72*Source!AV72*Source!I72),2)),2)</f>
        <v>3.92</v>
      </c>
      <c r="J111" s="10">
        <f>IF(Source!BA72&lt;&gt; 0, Source!BA72, 1)</f>
        <v>24.82</v>
      </c>
      <c r="K111" s="28">
        <f>Source!S72</f>
        <v>97.29</v>
      </c>
      <c r="W111">
        <f>I111</f>
        <v>3.92</v>
      </c>
    </row>
    <row r="112" spans="1:27" ht="14.25" x14ac:dyDescent="0.2">
      <c r="A112" s="23"/>
      <c r="B112" s="24"/>
      <c r="C112" s="24" t="s">
        <v>273</v>
      </c>
      <c r="D112" s="25"/>
      <c r="E112" s="10"/>
      <c r="F112" s="27">
        <f>Source!AM72</f>
        <v>130.57</v>
      </c>
      <c r="G112" s="26" t="str">
        <f>Source!DE72</f>
        <v/>
      </c>
      <c r="H112" s="10">
        <f>Source!AV72</f>
        <v>1.0669999999999999</v>
      </c>
      <c r="I112" s="28">
        <f>(ROUND((ROUND(((Source!ET72)*Source!AV72*Source!I72),2)),2)+ROUND((ROUND(((Source!AE72-(Source!EU72))*Source!AV72*Source!I72),2)),2))</f>
        <v>1.67</v>
      </c>
      <c r="J112" s="10">
        <f>IF(Source!BB72&lt;&gt; 0, Source!BB72, 1)</f>
        <v>8.82</v>
      </c>
      <c r="K112" s="28">
        <f>Source!Q72</f>
        <v>14.73</v>
      </c>
    </row>
    <row r="113" spans="1:27" ht="14.25" x14ac:dyDescent="0.2">
      <c r="A113" s="23"/>
      <c r="B113" s="24"/>
      <c r="C113" s="24" t="s">
        <v>274</v>
      </c>
      <c r="D113" s="25"/>
      <c r="E113" s="10"/>
      <c r="F113" s="27">
        <f>Source!AN72</f>
        <v>29.79</v>
      </c>
      <c r="G113" s="26" t="str">
        <f>Source!DF72</f>
        <v/>
      </c>
      <c r="H113" s="10">
        <f>Source!AV72</f>
        <v>1.0669999999999999</v>
      </c>
      <c r="I113" s="32">
        <f>ROUND((ROUND((Source!AE72*Source!AV72*Source!I72),2)),2)</f>
        <v>0.38</v>
      </c>
      <c r="J113" s="10">
        <f>IF(Source!BS72&lt;&gt; 0, Source!BS72, 1)</f>
        <v>24.82</v>
      </c>
      <c r="K113" s="32">
        <f>Source!R72</f>
        <v>9.43</v>
      </c>
      <c r="W113">
        <f>I113</f>
        <v>0.38</v>
      </c>
    </row>
    <row r="114" spans="1:27" ht="14.25" x14ac:dyDescent="0.2">
      <c r="A114" s="23"/>
      <c r="B114" s="24"/>
      <c r="C114" s="24" t="s">
        <v>276</v>
      </c>
      <c r="D114" s="25"/>
      <c r="E114" s="10"/>
      <c r="F114" s="27">
        <f>Source!AL72</f>
        <v>36.19</v>
      </c>
      <c r="G114" s="26" t="str">
        <f>Source!DD72</f>
        <v/>
      </c>
      <c r="H114" s="10">
        <f>Source!AW72</f>
        <v>1.081</v>
      </c>
      <c r="I114" s="28">
        <f>ROUND((ROUND((Source!AC72*Source!AW72*Source!I72),2)),2)</f>
        <v>0.47</v>
      </c>
      <c r="J114" s="10">
        <f>IF(Source!BC72&lt;&gt; 0, Source!BC72, 1)</f>
        <v>5.29</v>
      </c>
      <c r="K114" s="28">
        <f>Source!P72</f>
        <v>2.4900000000000002</v>
      </c>
    </row>
    <row r="115" spans="1:27" ht="14.25" x14ac:dyDescent="0.2">
      <c r="A115" s="23"/>
      <c r="B115" s="24"/>
      <c r="C115" s="24" t="s">
        <v>268</v>
      </c>
      <c r="D115" s="25" t="s">
        <v>269</v>
      </c>
      <c r="E115" s="10">
        <f>Source!DN72</f>
        <v>114</v>
      </c>
      <c r="F115" s="27"/>
      <c r="G115" s="26"/>
      <c r="H115" s="10"/>
      <c r="I115" s="28">
        <f>SUM(Q110:Q114)</f>
        <v>4.47</v>
      </c>
      <c r="J115" s="10">
        <f>Source!BZ72</f>
        <v>77</v>
      </c>
      <c r="K115" s="28">
        <f>SUM(R110:R114)</f>
        <v>74.91</v>
      </c>
    </row>
    <row r="116" spans="1:27" ht="14.25" x14ac:dyDescent="0.2">
      <c r="A116" s="23"/>
      <c r="B116" s="24"/>
      <c r="C116" s="24" t="s">
        <v>270</v>
      </c>
      <c r="D116" s="25" t="s">
        <v>269</v>
      </c>
      <c r="E116" s="10">
        <f>Source!DO72</f>
        <v>67</v>
      </c>
      <c r="F116" s="27"/>
      <c r="G116" s="26"/>
      <c r="H116" s="10"/>
      <c r="I116" s="28">
        <f>SUM(S110:S115)</f>
        <v>2.63</v>
      </c>
      <c r="J116" s="10">
        <f>Source!CA72</f>
        <v>41</v>
      </c>
      <c r="K116" s="28">
        <f>SUM(T110:T115)</f>
        <v>39.89</v>
      </c>
    </row>
    <row r="117" spans="1:27" ht="14.25" x14ac:dyDescent="0.2">
      <c r="A117" s="23"/>
      <c r="B117" s="24"/>
      <c r="C117" s="24" t="s">
        <v>275</v>
      </c>
      <c r="D117" s="25" t="s">
        <v>269</v>
      </c>
      <c r="E117" s="10">
        <f>175</f>
        <v>175</v>
      </c>
      <c r="F117" s="27"/>
      <c r="G117" s="26"/>
      <c r="H117" s="10"/>
      <c r="I117" s="28">
        <f>SUM(U110:U116)</f>
        <v>0.67</v>
      </c>
      <c r="J117" s="10">
        <f>157</f>
        <v>157</v>
      </c>
      <c r="K117" s="28">
        <f>SUM(V110:V116)</f>
        <v>14.81</v>
      </c>
    </row>
    <row r="118" spans="1:27" ht="14.25" x14ac:dyDescent="0.2">
      <c r="A118" s="23"/>
      <c r="B118" s="24"/>
      <c r="C118" s="24" t="s">
        <v>271</v>
      </c>
      <c r="D118" s="25" t="s">
        <v>272</v>
      </c>
      <c r="E118" s="10">
        <f>Source!AQ72</f>
        <v>24.8</v>
      </c>
      <c r="F118" s="27"/>
      <c r="G118" s="26" t="str">
        <f>Source!DI72</f>
        <v/>
      </c>
      <c r="H118" s="10">
        <f>Source!AV72</f>
        <v>1.0669999999999999</v>
      </c>
      <c r="I118" s="28">
        <f>Source!U72</f>
        <v>0.31753920000000002</v>
      </c>
      <c r="J118" s="10"/>
      <c r="K118" s="28"/>
    </row>
    <row r="119" spans="1:27" ht="15" x14ac:dyDescent="0.25">
      <c r="A119" s="31"/>
      <c r="B119" s="31"/>
      <c r="C119" s="31"/>
      <c r="D119" s="31"/>
      <c r="E119" s="31"/>
      <c r="F119" s="31"/>
      <c r="G119" s="31"/>
      <c r="H119" s="58">
        <f>I111+I112+I114+I115+I116+I117</f>
        <v>13.83</v>
      </c>
      <c r="I119" s="58"/>
      <c r="J119" s="58">
        <f>K111+K112+K114+K115+K116+K117</f>
        <v>244.12</v>
      </c>
      <c r="K119" s="58"/>
      <c r="O119" s="30">
        <f>I111+I112+I114+I115+I116+I117</f>
        <v>13.83</v>
      </c>
      <c r="P119" s="30">
        <f>K111+K112+K114+K115+K116+K117</f>
        <v>244.12</v>
      </c>
      <c r="X119">
        <f>IF(Source!BI72&lt;=1,I111+I112+I114+I115+I116+I117-0, 0)</f>
        <v>0</v>
      </c>
      <c r="Y119">
        <f>IF(Source!BI72=2,I111+I112+I114+I115+I116+I117-0, 0)</f>
        <v>13.83</v>
      </c>
      <c r="Z119">
        <f>IF(Source!BI72=3,I111+I112+I114+I115+I116+I117-0, 0)</f>
        <v>0</v>
      </c>
      <c r="AA119">
        <f>IF(Source!BI72=4,I111+I112+I114+I115+I116+I117,0)</f>
        <v>0</v>
      </c>
    </row>
    <row r="120" spans="1:27" ht="99.75" x14ac:dyDescent="0.2">
      <c r="A120" s="23" t="str">
        <f>Source!E73</f>
        <v>10</v>
      </c>
      <c r="B120" s="24" t="str">
        <f>Source!F73</f>
        <v>4.8-316-1</v>
      </c>
      <c r="C120" s="24" t="s">
        <v>138</v>
      </c>
      <c r="D120" s="25" t="str">
        <f>Source!H73</f>
        <v>шт.</v>
      </c>
      <c r="E120" s="10">
        <f>Source!I73</f>
        <v>2</v>
      </c>
      <c r="F120" s="27"/>
      <c r="G120" s="26"/>
      <c r="H120" s="10"/>
      <c r="I120" s="28"/>
      <c r="J120" s="10"/>
      <c r="K120" s="28"/>
      <c r="Q120">
        <f>ROUND((Source!DN73/100)*ROUND((ROUND((Source!AF73*Source!AV73*Source!I73),2)),2), 2)</f>
        <v>88.67</v>
      </c>
      <c r="R120">
        <f>Source!X73</f>
        <v>1486.49</v>
      </c>
      <c r="S120">
        <f>ROUND((Source!DO73/100)*ROUND((ROUND((Source!AF73*Source!AV73*Source!I73),2)),2), 2)</f>
        <v>52.11</v>
      </c>
      <c r="T120">
        <f>Source!Y73</f>
        <v>791.51</v>
      </c>
      <c r="U120">
        <f>ROUND((175/100)*ROUND((ROUND((Source!AE73*Source!AV73*Source!I73),2)),2), 2)</f>
        <v>0.63</v>
      </c>
      <c r="V120">
        <f>ROUND((157/100)*ROUND(ROUND((ROUND((Source!AE73*Source!AV73*Source!I73),2)*Source!BS73),2), 2), 2)</f>
        <v>14.04</v>
      </c>
    </row>
    <row r="121" spans="1:27" ht="14.25" x14ac:dyDescent="0.2">
      <c r="A121" s="23"/>
      <c r="B121" s="24"/>
      <c r="C121" s="24" t="s">
        <v>267</v>
      </c>
      <c r="D121" s="25"/>
      <c r="E121" s="10"/>
      <c r="F121" s="27">
        <f>Source!AO73</f>
        <v>36.450000000000003</v>
      </c>
      <c r="G121" s="26" t="str">
        <f>Source!DG73</f>
        <v/>
      </c>
      <c r="H121" s="10">
        <f>Source!AV73</f>
        <v>1.0669999999999999</v>
      </c>
      <c r="I121" s="28">
        <f>ROUND((ROUND((Source!AF73*Source!AV73*Source!I73),2)),2)</f>
        <v>77.78</v>
      </c>
      <c r="J121" s="10">
        <f>IF(Source!BA73&lt;&gt; 0, Source!BA73, 1)</f>
        <v>24.82</v>
      </c>
      <c r="K121" s="28">
        <f>Source!S73</f>
        <v>1930.5</v>
      </c>
      <c r="W121">
        <f>I121</f>
        <v>77.78</v>
      </c>
    </row>
    <row r="122" spans="1:27" ht="14.25" x14ac:dyDescent="0.2">
      <c r="A122" s="23"/>
      <c r="B122" s="24"/>
      <c r="C122" s="24" t="s">
        <v>273</v>
      </c>
      <c r="D122" s="25"/>
      <c r="E122" s="10"/>
      <c r="F122" s="27">
        <f>Source!AM73</f>
        <v>1.18</v>
      </c>
      <c r="G122" s="26" t="str">
        <f>Source!DE73</f>
        <v/>
      </c>
      <c r="H122" s="10">
        <f>Source!AV73</f>
        <v>1.0669999999999999</v>
      </c>
      <c r="I122" s="28">
        <f>(ROUND((ROUND(((Source!ET73)*Source!AV73*Source!I73),2)),2)+ROUND((ROUND(((Source!AE73-(Source!EU73))*Source!AV73*Source!I73),2)),2))</f>
        <v>2.52</v>
      </c>
      <c r="J122" s="10">
        <f>IF(Source!BB73&lt;&gt; 0, Source!BB73, 1)</f>
        <v>7.86</v>
      </c>
      <c r="K122" s="28">
        <f>Source!Q73</f>
        <v>19.809999999999999</v>
      </c>
    </row>
    <row r="123" spans="1:27" ht="14.25" x14ac:dyDescent="0.2">
      <c r="A123" s="23"/>
      <c r="B123" s="24"/>
      <c r="C123" s="24" t="s">
        <v>274</v>
      </c>
      <c r="D123" s="25"/>
      <c r="E123" s="10"/>
      <c r="F123" s="27">
        <f>Source!AN73</f>
        <v>0.17</v>
      </c>
      <c r="G123" s="26" t="str">
        <f>Source!DF73</f>
        <v/>
      </c>
      <c r="H123" s="10">
        <f>Source!AV73</f>
        <v>1.0669999999999999</v>
      </c>
      <c r="I123" s="32">
        <f>ROUND((ROUND((Source!AE73*Source!AV73*Source!I73),2)),2)</f>
        <v>0.36</v>
      </c>
      <c r="J123" s="10">
        <f>IF(Source!BS73&lt;&gt; 0, Source!BS73, 1)</f>
        <v>24.82</v>
      </c>
      <c r="K123" s="32">
        <f>Source!R73</f>
        <v>8.94</v>
      </c>
      <c r="W123">
        <f>I123</f>
        <v>0.36</v>
      </c>
    </row>
    <row r="124" spans="1:27" ht="14.25" x14ac:dyDescent="0.2">
      <c r="A124" s="23"/>
      <c r="B124" s="24"/>
      <c r="C124" s="24" t="s">
        <v>276</v>
      </c>
      <c r="D124" s="25"/>
      <c r="E124" s="10"/>
      <c r="F124" s="27">
        <f>Source!AL73</f>
        <v>7.53</v>
      </c>
      <c r="G124" s="26" t="str">
        <f>Source!DD73</f>
        <v/>
      </c>
      <c r="H124" s="10">
        <f>Source!AW73</f>
        <v>1.028</v>
      </c>
      <c r="I124" s="28">
        <f>ROUND((ROUND((Source!AC73*Source!AW73*Source!I73),2)),2)</f>
        <v>15.48</v>
      </c>
      <c r="J124" s="10">
        <f>IF(Source!BC73&lt;&gt; 0, Source!BC73, 1)</f>
        <v>7.77</v>
      </c>
      <c r="K124" s="28">
        <f>Source!P73</f>
        <v>120.28</v>
      </c>
    </row>
    <row r="125" spans="1:27" ht="14.25" x14ac:dyDescent="0.2">
      <c r="A125" s="23"/>
      <c r="B125" s="24"/>
      <c r="C125" s="24" t="s">
        <v>268</v>
      </c>
      <c r="D125" s="25" t="s">
        <v>269</v>
      </c>
      <c r="E125" s="10">
        <f>Source!DN73</f>
        <v>114</v>
      </c>
      <c r="F125" s="27"/>
      <c r="G125" s="26"/>
      <c r="H125" s="10"/>
      <c r="I125" s="28">
        <f>SUM(Q120:Q124)</f>
        <v>88.67</v>
      </c>
      <c r="J125" s="10">
        <f>Source!BZ73</f>
        <v>77</v>
      </c>
      <c r="K125" s="28">
        <f>SUM(R120:R124)</f>
        <v>1486.49</v>
      </c>
    </row>
    <row r="126" spans="1:27" ht="14.25" x14ac:dyDescent="0.2">
      <c r="A126" s="23"/>
      <c r="B126" s="24"/>
      <c r="C126" s="24" t="s">
        <v>270</v>
      </c>
      <c r="D126" s="25" t="s">
        <v>269</v>
      </c>
      <c r="E126" s="10">
        <f>Source!DO73</f>
        <v>67</v>
      </c>
      <c r="F126" s="27"/>
      <c r="G126" s="26"/>
      <c r="H126" s="10"/>
      <c r="I126" s="28">
        <f>SUM(S120:S125)</f>
        <v>52.11</v>
      </c>
      <c r="J126" s="10">
        <f>Source!CA73</f>
        <v>41</v>
      </c>
      <c r="K126" s="28">
        <f>SUM(T120:T125)</f>
        <v>791.51</v>
      </c>
    </row>
    <row r="127" spans="1:27" ht="14.25" x14ac:dyDescent="0.2">
      <c r="A127" s="23"/>
      <c r="B127" s="24"/>
      <c r="C127" s="24" t="s">
        <v>275</v>
      </c>
      <c r="D127" s="25" t="s">
        <v>269</v>
      </c>
      <c r="E127" s="10">
        <f>175</f>
        <v>175</v>
      </c>
      <c r="F127" s="27"/>
      <c r="G127" s="26"/>
      <c r="H127" s="10"/>
      <c r="I127" s="28">
        <f>SUM(U120:U126)</f>
        <v>0.63</v>
      </c>
      <c r="J127" s="10">
        <f>157</f>
        <v>157</v>
      </c>
      <c r="K127" s="28">
        <f>SUM(V120:V126)</f>
        <v>14.04</v>
      </c>
    </row>
    <row r="128" spans="1:27" ht="14.25" x14ac:dyDescent="0.2">
      <c r="A128" s="23"/>
      <c r="B128" s="24"/>
      <c r="C128" s="24" t="s">
        <v>271</v>
      </c>
      <c r="D128" s="25" t="s">
        <v>272</v>
      </c>
      <c r="E128" s="10">
        <f>Source!AQ73</f>
        <v>2.5099999999999998</v>
      </c>
      <c r="F128" s="27"/>
      <c r="G128" s="26" t="str">
        <f>Source!DI73</f>
        <v/>
      </c>
      <c r="H128" s="10">
        <f>Source!AV73</f>
        <v>1.0669999999999999</v>
      </c>
      <c r="I128" s="28">
        <f>Source!U73</f>
        <v>5.3563399999999994</v>
      </c>
      <c r="J128" s="10"/>
      <c r="K128" s="28"/>
    </row>
    <row r="129" spans="1:27" ht="15" x14ac:dyDescent="0.25">
      <c r="A129" s="31"/>
      <c r="B129" s="31"/>
      <c r="C129" s="31"/>
      <c r="D129" s="31"/>
      <c r="E129" s="31"/>
      <c r="F129" s="31"/>
      <c r="G129" s="31"/>
      <c r="H129" s="58">
        <f>I121+I122+I124+I125+I126+I127</f>
        <v>237.19</v>
      </c>
      <c r="I129" s="58"/>
      <c r="J129" s="58">
        <f>K121+K122+K124+K125+K126+K127</f>
        <v>4362.63</v>
      </c>
      <c r="K129" s="58"/>
      <c r="O129" s="30">
        <f>I121+I122+I124+I125+I126+I127</f>
        <v>237.19</v>
      </c>
      <c r="P129" s="30">
        <f>K121+K122+K124+K125+K126+K127</f>
        <v>4362.63</v>
      </c>
      <c r="X129">
        <f>IF(Source!BI73&lt;=1,I121+I122+I124+I125+I126+I127-0, 0)</f>
        <v>0</v>
      </c>
      <c r="Y129">
        <f>IF(Source!BI73=2,I121+I122+I124+I125+I126+I127-0, 0)</f>
        <v>237.19</v>
      </c>
      <c r="Z129">
        <f>IF(Source!BI73=3,I121+I122+I124+I125+I126+I127-0, 0)</f>
        <v>0</v>
      </c>
      <c r="AA129">
        <f>IF(Source!BI73=4,I121+I122+I124+I125+I126+I127,0)</f>
        <v>0</v>
      </c>
    </row>
    <row r="131" spans="1:27" ht="15" x14ac:dyDescent="0.25">
      <c r="A131" s="56" t="str">
        <f>CONCATENATE("Итого по разделу: ",IF(Source!G75&lt;&gt;"Новый раздел", Source!G75, ""))</f>
        <v>Итого по разделу: Электромонтажные работы</v>
      </c>
      <c r="B131" s="56"/>
      <c r="C131" s="56"/>
      <c r="D131" s="56"/>
      <c r="E131" s="56"/>
      <c r="F131" s="56"/>
      <c r="G131" s="56"/>
      <c r="H131" s="54">
        <f>SUM(O98:O130)</f>
        <v>1282.83</v>
      </c>
      <c r="I131" s="55"/>
      <c r="J131" s="54">
        <f>SUM(P98:P130)</f>
        <v>18939.150000000001</v>
      </c>
      <c r="K131" s="55"/>
    </row>
    <row r="132" spans="1:27" hidden="1" x14ac:dyDescent="0.2">
      <c r="A132" t="s">
        <v>277</v>
      </c>
      <c r="H132">
        <f>SUM(AC98:AC131)</f>
        <v>0</v>
      </c>
      <c r="J132">
        <f>SUM(AD98:AD131)</f>
        <v>0</v>
      </c>
    </row>
    <row r="133" spans="1:27" hidden="1" x14ac:dyDescent="0.2">
      <c r="A133" t="s">
        <v>278</v>
      </c>
      <c r="H133">
        <f>SUM(AE98:AE132)</f>
        <v>0</v>
      </c>
      <c r="J133">
        <f>SUM(AF98:AF132)</f>
        <v>0</v>
      </c>
    </row>
    <row r="135" spans="1:27" ht="16.5" x14ac:dyDescent="0.25">
      <c r="A135" s="57" t="str">
        <f>CONCATENATE("Раздел: ",IF(Source!G105&lt;&gt;"Новый раздел", Source!G105, ""))</f>
        <v>Раздел: Пуско-наладочные работы</v>
      </c>
      <c r="B135" s="57"/>
      <c r="C135" s="57"/>
      <c r="D135" s="57"/>
      <c r="E135" s="57"/>
      <c r="F135" s="57"/>
      <c r="G135" s="57"/>
      <c r="H135" s="57"/>
      <c r="I135" s="57"/>
      <c r="J135" s="57"/>
      <c r="K135" s="57"/>
    </row>
    <row r="136" spans="1:27" ht="42.75" x14ac:dyDescent="0.2">
      <c r="A136" s="23" t="str">
        <f>Source!E109</f>
        <v>11</v>
      </c>
      <c r="B136" s="24" t="str">
        <f>Source!F109</f>
        <v>5.1-158-1</v>
      </c>
      <c r="C136" s="24" t="s">
        <v>145</v>
      </c>
      <c r="D136" s="25" t="str">
        <f>Source!H109</f>
        <v>фазировка</v>
      </c>
      <c r="E136" s="10">
        <f>Source!I109</f>
        <v>1</v>
      </c>
      <c r="F136" s="27"/>
      <c r="G136" s="26"/>
      <c r="H136" s="10"/>
      <c r="I136" s="28"/>
      <c r="J136" s="10"/>
      <c r="K136" s="28"/>
      <c r="Q136">
        <f>ROUND((Source!DN109/100)*ROUND((ROUND((Source!AF109*Source!AV109*Source!I109),2)),2), 2)</f>
        <v>11.11</v>
      </c>
      <c r="R136">
        <f>Source!X109</f>
        <v>249.95</v>
      </c>
      <c r="S136">
        <f>ROUND((Source!DO109/100)*ROUND((ROUND((Source!AF109*Source!AV109*Source!I109),2)),2), 2)</f>
        <v>10.37</v>
      </c>
      <c r="T136">
        <f>Source!Y109</f>
        <v>150.71</v>
      </c>
      <c r="U136">
        <f>ROUND((175/100)*ROUND((ROUND((Source!AE109*Source!AV109*Source!I109),2)),2), 2)</f>
        <v>0</v>
      </c>
      <c r="V136">
        <f>ROUND((157/100)*ROUND(ROUND((ROUND((Source!AE109*Source!AV109*Source!I109),2)*Source!BS109),2), 2), 2)</f>
        <v>0</v>
      </c>
    </row>
    <row r="137" spans="1:27" ht="28.5" x14ac:dyDescent="0.2">
      <c r="A137" s="23"/>
      <c r="B137" s="24"/>
      <c r="C137" s="24" t="s">
        <v>267</v>
      </c>
      <c r="D137" s="25"/>
      <c r="E137" s="10"/>
      <c r="F137" s="27">
        <f>Source!AO109</f>
        <v>14.24</v>
      </c>
      <c r="G137" s="26" t="str">
        <f>Source!DG109</f>
        <v>)*1,3)*0,8</v>
      </c>
      <c r="H137" s="10">
        <f>Source!AV109</f>
        <v>1</v>
      </c>
      <c r="I137" s="28">
        <f>ROUND((ROUND((Source!AF109*Source!AV109*Source!I109),2)),2)</f>
        <v>14.81</v>
      </c>
      <c r="J137" s="10">
        <f>IF(Source!BA109&lt;&gt; 0, Source!BA109, 1)</f>
        <v>24.82</v>
      </c>
      <c r="K137" s="28">
        <f>Source!S109</f>
        <v>367.58</v>
      </c>
      <c r="W137">
        <f>I137</f>
        <v>14.81</v>
      </c>
    </row>
    <row r="138" spans="1:27" ht="14.25" x14ac:dyDescent="0.2">
      <c r="A138" s="23"/>
      <c r="B138" s="24"/>
      <c r="C138" s="24" t="s">
        <v>268</v>
      </c>
      <c r="D138" s="25" t="s">
        <v>269</v>
      </c>
      <c r="E138" s="10">
        <f>Source!DN109</f>
        <v>75</v>
      </c>
      <c r="F138" s="27"/>
      <c r="G138" s="26"/>
      <c r="H138" s="10"/>
      <c r="I138" s="28">
        <f>SUM(Q136:Q137)</f>
        <v>11.11</v>
      </c>
      <c r="J138" s="10">
        <f>Source!BZ109</f>
        <v>68</v>
      </c>
      <c r="K138" s="28">
        <f>SUM(R136:R137)</f>
        <v>249.95</v>
      </c>
    </row>
    <row r="139" spans="1:27" ht="14.25" x14ac:dyDescent="0.2">
      <c r="A139" s="23"/>
      <c r="B139" s="24"/>
      <c r="C139" s="24" t="s">
        <v>270</v>
      </c>
      <c r="D139" s="25" t="s">
        <v>269</v>
      </c>
      <c r="E139" s="10">
        <f>Source!DO109</f>
        <v>70</v>
      </c>
      <c r="F139" s="27"/>
      <c r="G139" s="26"/>
      <c r="H139" s="10"/>
      <c r="I139" s="28">
        <f>SUM(S136:S138)</f>
        <v>10.37</v>
      </c>
      <c r="J139" s="10">
        <f>Source!CA109</f>
        <v>41</v>
      </c>
      <c r="K139" s="28">
        <f>SUM(T136:T138)</f>
        <v>150.71</v>
      </c>
    </row>
    <row r="140" spans="1:27" ht="28.5" x14ac:dyDescent="0.2">
      <c r="A140" s="23"/>
      <c r="B140" s="24"/>
      <c r="C140" s="24" t="s">
        <v>271</v>
      </c>
      <c r="D140" s="25" t="s">
        <v>272</v>
      </c>
      <c r="E140" s="10">
        <f>Source!AQ109</f>
        <v>0.9</v>
      </c>
      <c r="F140" s="27"/>
      <c r="G140" s="26" t="str">
        <f>Source!DI109</f>
        <v>)*1,3)*0,8</v>
      </c>
      <c r="H140" s="10">
        <f>Source!AV109</f>
        <v>1</v>
      </c>
      <c r="I140" s="28">
        <f>Source!U109</f>
        <v>0.93600000000000017</v>
      </c>
      <c r="J140" s="10"/>
      <c r="K140" s="28"/>
    </row>
    <row r="141" spans="1:27" ht="15" x14ac:dyDescent="0.25">
      <c r="A141" s="31"/>
      <c r="B141" s="31"/>
      <c r="C141" s="31"/>
      <c r="D141" s="31"/>
      <c r="E141" s="31"/>
      <c r="F141" s="31"/>
      <c r="G141" s="31"/>
      <c r="H141" s="58">
        <f>I137+I138+I139</f>
        <v>36.29</v>
      </c>
      <c r="I141" s="58"/>
      <c r="J141" s="58">
        <f>K137+K138+K139</f>
        <v>768.24</v>
      </c>
      <c r="K141" s="58"/>
      <c r="O141" s="30">
        <f>I137+I138+I139</f>
        <v>36.29</v>
      </c>
      <c r="P141" s="30">
        <f>K137+K138+K139</f>
        <v>768.24</v>
      </c>
      <c r="X141">
        <f>IF(Source!BI109&lt;=1,I137+I138+I139-0, 0)</f>
        <v>0</v>
      </c>
      <c r="Y141">
        <f>IF(Source!BI109=2,I137+I138+I139-0, 0)</f>
        <v>0</v>
      </c>
      <c r="Z141">
        <f>IF(Source!BI109=3,I137+I138+I139-0, 0)</f>
        <v>0</v>
      </c>
      <c r="AA141">
        <f>IF(Source!BI109=4,I137+I138+I139,0)</f>
        <v>36.29</v>
      </c>
    </row>
    <row r="142" spans="1:27" ht="156.75" x14ac:dyDescent="0.2">
      <c r="A142" s="23" t="str">
        <f>Source!E110</f>
        <v>12</v>
      </c>
      <c r="B142" s="24" t="str">
        <f>Source!F110</f>
        <v>5.1-162-1</v>
      </c>
      <c r="C142" s="24" t="s">
        <v>238</v>
      </c>
      <c r="D142" s="25" t="str">
        <f>Source!H110</f>
        <v>измерение</v>
      </c>
      <c r="E142" s="10">
        <f>Source!I110</f>
        <v>6</v>
      </c>
      <c r="F142" s="27"/>
      <c r="G142" s="26"/>
      <c r="H142" s="10"/>
      <c r="I142" s="28"/>
      <c r="J142" s="10"/>
      <c r="K142" s="28"/>
      <c r="Q142">
        <f>ROUND((Source!DN110/100)*ROUND((ROUND((Source!AF110*Source!AV110*Source!I110),2)),2), 2)</f>
        <v>26.68</v>
      </c>
      <c r="R142">
        <f>Source!X110</f>
        <v>600.34</v>
      </c>
      <c r="S142">
        <f>ROUND((Source!DO110/100)*ROUND((ROUND((Source!AF110*Source!AV110*Source!I110),2)),2), 2)</f>
        <v>24.9</v>
      </c>
      <c r="T142">
        <f>Source!Y110</f>
        <v>361.97</v>
      </c>
      <c r="U142">
        <f>ROUND((175/100)*ROUND((ROUND((Source!AE110*Source!AV110*Source!I110),2)),2), 2)</f>
        <v>0</v>
      </c>
      <c r="V142">
        <f>ROUND((157/100)*ROUND(ROUND((ROUND((Source!AE110*Source!AV110*Source!I110),2)*Source!BS110),2), 2), 2)</f>
        <v>0</v>
      </c>
    </row>
    <row r="143" spans="1:27" ht="28.5" x14ac:dyDescent="0.2">
      <c r="A143" s="23"/>
      <c r="B143" s="24"/>
      <c r="C143" s="24" t="s">
        <v>267</v>
      </c>
      <c r="D143" s="25"/>
      <c r="E143" s="10"/>
      <c r="F143" s="27">
        <f>Source!AO110</f>
        <v>5.7</v>
      </c>
      <c r="G143" s="26" t="str">
        <f>Source!DG110</f>
        <v>)*1,3)*0,8</v>
      </c>
      <c r="H143" s="10">
        <f>Source!AV110</f>
        <v>1</v>
      </c>
      <c r="I143" s="28">
        <f>ROUND((ROUND((Source!AF110*Source!AV110*Source!I110),2)),2)</f>
        <v>35.57</v>
      </c>
      <c r="J143" s="10">
        <f>IF(Source!BA110&lt;&gt; 0, Source!BA110, 1)</f>
        <v>24.82</v>
      </c>
      <c r="K143" s="28">
        <f>Source!S110</f>
        <v>882.85</v>
      </c>
      <c r="W143">
        <f>I143</f>
        <v>35.57</v>
      </c>
    </row>
    <row r="144" spans="1:27" ht="14.25" x14ac:dyDescent="0.2">
      <c r="A144" s="23"/>
      <c r="B144" s="24"/>
      <c r="C144" s="24" t="s">
        <v>268</v>
      </c>
      <c r="D144" s="25" t="s">
        <v>269</v>
      </c>
      <c r="E144" s="10">
        <f>Source!DN110</f>
        <v>75</v>
      </c>
      <c r="F144" s="27"/>
      <c r="G144" s="26"/>
      <c r="H144" s="10"/>
      <c r="I144" s="28">
        <f>SUM(Q142:Q143)</f>
        <v>26.68</v>
      </c>
      <c r="J144" s="10">
        <f>Source!BZ110</f>
        <v>68</v>
      </c>
      <c r="K144" s="28">
        <f>SUM(R142:R143)</f>
        <v>600.34</v>
      </c>
    </row>
    <row r="145" spans="1:27" ht="14.25" x14ac:dyDescent="0.2">
      <c r="A145" s="23"/>
      <c r="B145" s="24"/>
      <c r="C145" s="24" t="s">
        <v>270</v>
      </c>
      <c r="D145" s="25" t="s">
        <v>269</v>
      </c>
      <c r="E145" s="10">
        <f>Source!DO110</f>
        <v>70</v>
      </c>
      <c r="F145" s="27"/>
      <c r="G145" s="26"/>
      <c r="H145" s="10"/>
      <c r="I145" s="28">
        <f>SUM(S142:S144)</f>
        <v>24.9</v>
      </c>
      <c r="J145" s="10">
        <f>Source!CA110</f>
        <v>41</v>
      </c>
      <c r="K145" s="28">
        <f>SUM(T142:T144)</f>
        <v>361.97</v>
      </c>
    </row>
    <row r="146" spans="1:27" ht="28.5" x14ac:dyDescent="0.2">
      <c r="A146" s="23"/>
      <c r="B146" s="24"/>
      <c r="C146" s="24" t="s">
        <v>271</v>
      </c>
      <c r="D146" s="25" t="s">
        <v>272</v>
      </c>
      <c r="E146" s="10">
        <f>Source!AQ110</f>
        <v>0.36</v>
      </c>
      <c r="F146" s="27"/>
      <c r="G146" s="26" t="str">
        <f>Source!DI110</f>
        <v>)*1,3)*0,8</v>
      </c>
      <c r="H146" s="10">
        <f>Source!AV110</f>
        <v>1</v>
      </c>
      <c r="I146" s="28">
        <f>Source!U110</f>
        <v>2.2464</v>
      </c>
      <c r="J146" s="10"/>
      <c r="K146" s="28"/>
    </row>
    <row r="147" spans="1:27" ht="15" x14ac:dyDescent="0.25">
      <c r="A147" s="31"/>
      <c r="B147" s="31"/>
      <c r="C147" s="31"/>
      <c r="D147" s="31"/>
      <c r="E147" s="31"/>
      <c r="F147" s="31"/>
      <c r="G147" s="31"/>
      <c r="H147" s="58">
        <f>I143+I144+I145</f>
        <v>87.15</v>
      </c>
      <c r="I147" s="58"/>
      <c r="J147" s="58">
        <f>K143+K144+K145</f>
        <v>1845.16</v>
      </c>
      <c r="K147" s="58"/>
      <c r="O147" s="30">
        <f>I143+I144+I145</f>
        <v>87.15</v>
      </c>
      <c r="P147" s="30">
        <f>K143+K144+K145</f>
        <v>1845.16</v>
      </c>
      <c r="X147">
        <f>IF(Source!BI110&lt;=1,I143+I144+I145-0, 0)</f>
        <v>0</v>
      </c>
      <c r="Y147">
        <f>IF(Source!BI110=2,I143+I144+I145-0, 0)</f>
        <v>0</v>
      </c>
      <c r="Z147">
        <f>IF(Source!BI110=3,I143+I144+I145-0, 0)</f>
        <v>0</v>
      </c>
      <c r="AA147">
        <f>IF(Source!BI110=4,I143+I144+I145,0)</f>
        <v>87.15</v>
      </c>
    </row>
    <row r="148" spans="1:27" ht="28.5" x14ac:dyDescent="0.2">
      <c r="A148" s="23" t="str">
        <f>Source!E111</f>
        <v>13</v>
      </c>
      <c r="B148" s="24" t="str">
        <f>Source!F111</f>
        <v>5.1-151-1</v>
      </c>
      <c r="C148" s="24" t="s">
        <v>159</v>
      </c>
      <c r="D148" s="25" t="str">
        <f>Source!H111</f>
        <v>измерение</v>
      </c>
      <c r="E148" s="10">
        <f>Source!I111</f>
        <v>2</v>
      </c>
      <c r="F148" s="27"/>
      <c r="G148" s="26"/>
      <c r="H148" s="10"/>
      <c r="I148" s="28"/>
      <c r="J148" s="10"/>
      <c r="K148" s="28"/>
      <c r="Q148">
        <f>ROUND((Source!DN111/100)*ROUND((ROUND((Source!AF111*Source!AV111*Source!I111),2)),2), 2)</f>
        <v>24.7</v>
      </c>
      <c r="R148">
        <f>Source!X111</f>
        <v>555.78</v>
      </c>
      <c r="S148">
        <f>ROUND((Source!DO111/100)*ROUND((ROUND((Source!AF111*Source!AV111*Source!I111),2)),2), 2)</f>
        <v>23.05</v>
      </c>
      <c r="T148">
        <f>Source!Y111</f>
        <v>335.1</v>
      </c>
      <c r="U148">
        <f>ROUND((175/100)*ROUND((ROUND((Source!AE111*Source!AV111*Source!I111),2)),2), 2)</f>
        <v>0</v>
      </c>
      <c r="V148">
        <f>ROUND((157/100)*ROUND(ROUND((ROUND((Source!AE111*Source!AV111*Source!I111),2)*Source!BS111),2), 2), 2)</f>
        <v>0</v>
      </c>
    </row>
    <row r="149" spans="1:27" ht="28.5" x14ac:dyDescent="0.2">
      <c r="A149" s="23"/>
      <c r="B149" s="24"/>
      <c r="C149" s="24" t="s">
        <v>267</v>
      </c>
      <c r="D149" s="25"/>
      <c r="E149" s="10"/>
      <c r="F149" s="27">
        <f>Source!AO111</f>
        <v>15.83</v>
      </c>
      <c r="G149" s="26" t="str">
        <f>Source!DG111</f>
        <v>)*1,3)*0,8</v>
      </c>
      <c r="H149" s="10">
        <f>Source!AV111</f>
        <v>1</v>
      </c>
      <c r="I149" s="28">
        <f>ROUND((ROUND((Source!AF111*Source!AV111*Source!I111),2)),2)</f>
        <v>32.93</v>
      </c>
      <c r="J149" s="10">
        <f>IF(Source!BA111&lt;&gt; 0, Source!BA111, 1)</f>
        <v>24.82</v>
      </c>
      <c r="K149" s="28">
        <f>Source!S111</f>
        <v>817.32</v>
      </c>
      <c r="W149">
        <f>I149</f>
        <v>32.93</v>
      </c>
    </row>
    <row r="150" spans="1:27" ht="14.25" x14ac:dyDescent="0.2">
      <c r="A150" s="23"/>
      <c r="B150" s="24"/>
      <c r="C150" s="24" t="s">
        <v>268</v>
      </c>
      <c r="D150" s="25" t="s">
        <v>269</v>
      </c>
      <c r="E150" s="10">
        <f>Source!DN111</f>
        <v>75</v>
      </c>
      <c r="F150" s="27"/>
      <c r="G150" s="26"/>
      <c r="H150" s="10"/>
      <c r="I150" s="28">
        <f>SUM(Q148:Q149)</f>
        <v>24.7</v>
      </c>
      <c r="J150" s="10">
        <f>Source!BZ111</f>
        <v>68</v>
      </c>
      <c r="K150" s="28">
        <f>SUM(R148:R149)</f>
        <v>555.78</v>
      </c>
    </row>
    <row r="151" spans="1:27" ht="14.25" x14ac:dyDescent="0.2">
      <c r="A151" s="23"/>
      <c r="B151" s="24"/>
      <c r="C151" s="24" t="s">
        <v>270</v>
      </c>
      <c r="D151" s="25" t="s">
        <v>269</v>
      </c>
      <c r="E151" s="10">
        <f>Source!DO111</f>
        <v>70</v>
      </c>
      <c r="F151" s="27"/>
      <c r="G151" s="26"/>
      <c r="H151" s="10"/>
      <c r="I151" s="28">
        <f>SUM(S148:S150)</f>
        <v>23.05</v>
      </c>
      <c r="J151" s="10">
        <f>Source!CA111</f>
        <v>41</v>
      </c>
      <c r="K151" s="28">
        <f>SUM(T148:T150)</f>
        <v>335.1</v>
      </c>
    </row>
    <row r="152" spans="1:27" ht="28.5" x14ac:dyDescent="0.2">
      <c r="A152" s="23"/>
      <c r="B152" s="24"/>
      <c r="C152" s="24" t="s">
        <v>271</v>
      </c>
      <c r="D152" s="25" t="s">
        <v>272</v>
      </c>
      <c r="E152" s="10">
        <f>Source!AQ111</f>
        <v>1</v>
      </c>
      <c r="F152" s="27"/>
      <c r="G152" s="26" t="str">
        <f>Source!DI111</f>
        <v>)*1,3)*0,8</v>
      </c>
      <c r="H152" s="10">
        <f>Source!AV111</f>
        <v>1</v>
      </c>
      <c r="I152" s="28">
        <f>Source!U111</f>
        <v>2.08</v>
      </c>
      <c r="J152" s="10"/>
      <c r="K152" s="28"/>
    </row>
    <row r="153" spans="1:27" ht="15" x14ac:dyDescent="0.25">
      <c r="A153" s="31"/>
      <c r="B153" s="31"/>
      <c r="C153" s="31"/>
      <c r="D153" s="31"/>
      <c r="E153" s="31"/>
      <c r="F153" s="31"/>
      <c r="G153" s="31"/>
      <c r="H153" s="58">
        <f>I149+I150+I151</f>
        <v>80.679999999999993</v>
      </c>
      <c r="I153" s="58"/>
      <c r="J153" s="58">
        <f>K149+K150+K151</f>
        <v>1708.1999999999998</v>
      </c>
      <c r="K153" s="58"/>
      <c r="O153" s="30">
        <f>I149+I150+I151</f>
        <v>80.679999999999993</v>
      </c>
      <c r="P153" s="30">
        <f>K149+K150+K151</f>
        <v>1708.1999999999998</v>
      </c>
      <c r="X153">
        <f>IF(Source!BI111&lt;=1,I149+I150+I151-0, 0)</f>
        <v>0</v>
      </c>
      <c r="Y153">
        <f>IF(Source!BI111=2,I149+I150+I151-0, 0)</f>
        <v>0</v>
      </c>
      <c r="Z153">
        <f>IF(Source!BI111=3,I149+I150+I151-0, 0)</f>
        <v>0</v>
      </c>
      <c r="AA153">
        <f>IF(Source!BI111=4,I149+I150+I151,0)</f>
        <v>80.679999999999993</v>
      </c>
    </row>
    <row r="154" spans="1:27" ht="42.75" x14ac:dyDescent="0.2">
      <c r="A154" s="23" t="str">
        <f>Source!E112</f>
        <v>14</v>
      </c>
      <c r="B154" s="24" t="str">
        <f>Source!F112</f>
        <v>5.1-152-1</v>
      </c>
      <c r="C154" s="24" t="s">
        <v>163</v>
      </c>
      <c r="D154" s="25" t="str">
        <f>Source!H112</f>
        <v>точка</v>
      </c>
      <c r="E154" s="10">
        <f>Source!I112</f>
        <v>6</v>
      </c>
      <c r="F154" s="27"/>
      <c r="G154" s="26"/>
      <c r="H154" s="10"/>
      <c r="I154" s="28"/>
      <c r="J154" s="10"/>
      <c r="K154" s="28"/>
      <c r="Q154">
        <f>ROUND((Source!DN112/100)*ROUND((ROUND((Source!AF112*Source!AV112*Source!I112),2)),2), 2)</f>
        <v>11.09</v>
      </c>
      <c r="R154">
        <f>Source!X112</f>
        <v>249.62</v>
      </c>
      <c r="S154">
        <f>ROUND((Source!DO112/100)*ROUND((ROUND((Source!AF112*Source!AV112*Source!I112),2)),2), 2)</f>
        <v>10.35</v>
      </c>
      <c r="T154">
        <f>Source!Y112</f>
        <v>150.51</v>
      </c>
      <c r="U154">
        <f>ROUND((175/100)*ROUND((ROUND((Source!AE112*Source!AV112*Source!I112),2)),2), 2)</f>
        <v>0</v>
      </c>
      <c r="V154">
        <f>ROUND((157/100)*ROUND(ROUND((ROUND((Source!AE112*Source!AV112*Source!I112),2)*Source!BS112),2), 2), 2)</f>
        <v>0</v>
      </c>
    </row>
    <row r="155" spans="1:27" ht="28.5" x14ac:dyDescent="0.2">
      <c r="A155" s="23"/>
      <c r="B155" s="24"/>
      <c r="C155" s="24" t="s">
        <v>267</v>
      </c>
      <c r="D155" s="25"/>
      <c r="E155" s="10"/>
      <c r="F155" s="27">
        <f>Source!AO112</f>
        <v>2.37</v>
      </c>
      <c r="G155" s="26" t="str">
        <f>Source!DG112</f>
        <v>)*1,3)*0,8</v>
      </c>
      <c r="H155" s="10">
        <f>Source!AV112</f>
        <v>1</v>
      </c>
      <c r="I155" s="28">
        <f>ROUND((ROUND((Source!AF112*Source!AV112*Source!I112),2)),2)</f>
        <v>14.79</v>
      </c>
      <c r="J155" s="10">
        <f>IF(Source!BA112&lt;&gt; 0, Source!BA112, 1)</f>
        <v>24.82</v>
      </c>
      <c r="K155" s="28">
        <f>Source!S112</f>
        <v>367.09</v>
      </c>
      <c r="W155">
        <f>I155</f>
        <v>14.79</v>
      </c>
    </row>
    <row r="156" spans="1:27" ht="14.25" x14ac:dyDescent="0.2">
      <c r="A156" s="23"/>
      <c r="B156" s="24"/>
      <c r="C156" s="24" t="s">
        <v>268</v>
      </c>
      <c r="D156" s="25" t="s">
        <v>269</v>
      </c>
      <c r="E156" s="10">
        <f>Source!DN112</f>
        <v>75</v>
      </c>
      <c r="F156" s="27"/>
      <c r="G156" s="26"/>
      <c r="H156" s="10"/>
      <c r="I156" s="28">
        <f>SUM(Q154:Q155)</f>
        <v>11.09</v>
      </c>
      <c r="J156" s="10">
        <f>Source!BZ112</f>
        <v>68</v>
      </c>
      <c r="K156" s="28">
        <f>SUM(R154:R155)</f>
        <v>249.62</v>
      </c>
    </row>
    <row r="157" spans="1:27" ht="14.25" x14ac:dyDescent="0.2">
      <c r="A157" s="23"/>
      <c r="B157" s="24"/>
      <c r="C157" s="24" t="s">
        <v>270</v>
      </c>
      <c r="D157" s="25" t="s">
        <v>269</v>
      </c>
      <c r="E157" s="10">
        <f>Source!DO112</f>
        <v>70</v>
      </c>
      <c r="F157" s="27"/>
      <c r="G157" s="26"/>
      <c r="H157" s="10"/>
      <c r="I157" s="28">
        <f>SUM(S154:S156)</f>
        <v>10.35</v>
      </c>
      <c r="J157" s="10">
        <f>Source!CA112</f>
        <v>41</v>
      </c>
      <c r="K157" s="28">
        <f>SUM(T154:T156)</f>
        <v>150.51</v>
      </c>
    </row>
    <row r="158" spans="1:27" ht="28.5" x14ac:dyDescent="0.2">
      <c r="A158" s="23"/>
      <c r="B158" s="24"/>
      <c r="C158" s="24" t="s">
        <v>271</v>
      </c>
      <c r="D158" s="25" t="s">
        <v>272</v>
      </c>
      <c r="E158" s="10">
        <f>Source!AQ112</f>
        <v>0.15</v>
      </c>
      <c r="F158" s="27"/>
      <c r="G158" s="26" t="str">
        <f>Source!DI112</f>
        <v>)*1,3)*0,8</v>
      </c>
      <c r="H158" s="10">
        <f>Source!AV112</f>
        <v>1</v>
      </c>
      <c r="I158" s="28">
        <f>Source!U112</f>
        <v>0.93600000000000017</v>
      </c>
      <c r="J158" s="10"/>
      <c r="K158" s="28"/>
    </row>
    <row r="159" spans="1:27" ht="15" x14ac:dyDescent="0.25">
      <c r="A159" s="31"/>
      <c r="B159" s="31"/>
      <c r="C159" s="31"/>
      <c r="D159" s="31"/>
      <c r="E159" s="31"/>
      <c r="F159" s="31"/>
      <c r="G159" s="31"/>
      <c r="H159" s="58">
        <f>I155+I156+I157</f>
        <v>36.229999999999997</v>
      </c>
      <c r="I159" s="58"/>
      <c r="J159" s="58">
        <f>K155+K156+K157</f>
        <v>767.22</v>
      </c>
      <c r="K159" s="58"/>
      <c r="O159" s="30">
        <f>I155+I156+I157</f>
        <v>36.229999999999997</v>
      </c>
      <c r="P159" s="30">
        <f>K155+K156+K157</f>
        <v>767.22</v>
      </c>
      <c r="X159">
        <f>IF(Source!BI112&lt;=1,I155+I156+I157-0, 0)</f>
        <v>0</v>
      </c>
      <c r="Y159">
        <f>IF(Source!BI112=2,I155+I156+I157-0, 0)</f>
        <v>0</v>
      </c>
      <c r="Z159">
        <f>IF(Source!BI112=3,I155+I156+I157-0, 0)</f>
        <v>0</v>
      </c>
      <c r="AA159">
        <f>IF(Source!BI112=4,I155+I156+I157,0)</f>
        <v>36.229999999999997</v>
      </c>
    </row>
    <row r="160" spans="1:27" ht="42.75" x14ac:dyDescent="0.2">
      <c r="A160" s="23" t="str">
        <f>Source!E113</f>
        <v>15</v>
      </c>
      <c r="B160" s="24" t="str">
        <f>Source!F113</f>
        <v>5.1-154-1</v>
      </c>
      <c r="C160" s="24" t="s">
        <v>168</v>
      </c>
      <c r="D160" s="25" t="str">
        <f>Source!H113</f>
        <v>токоприемник</v>
      </c>
      <c r="E160" s="10">
        <f>Source!I113</f>
        <v>1</v>
      </c>
      <c r="F160" s="27"/>
      <c r="G160" s="26"/>
      <c r="H160" s="10"/>
      <c r="I160" s="28"/>
      <c r="J160" s="10"/>
      <c r="K160" s="28"/>
      <c r="Q160">
        <f>ROUND((Source!DN113/100)*ROUND((ROUND((Source!AF113*Source!AV113*Source!I113),2)),2), 2)</f>
        <v>12.35</v>
      </c>
      <c r="R160">
        <f>Source!X113</f>
        <v>277.81</v>
      </c>
      <c r="S160">
        <f>ROUND((Source!DO113/100)*ROUND((ROUND((Source!AF113*Source!AV113*Source!I113),2)),2), 2)</f>
        <v>11.52</v>
      </c>
      <c r="T160">
        <f>Source!Y113</f>
        <v>167.5</v>
      </c>
      <c r="U160">
        <f>ROUND((175/100)*ROUND((ROUND((Source!AE113*Source!AV113*Source!I113),2)),2), 2)</f>
        <v>0</v>
      </c>
      <c r="V160">
        <f>ROUND((157/100)*ROUND(ROUND((ROUND((Source!AE113*Source!AV113*Source!I113),2)*Source!BS113),2), 2), 2)</f>
        <v>0</v>
      </c>
    </row>
    <row r="161" spans="1:27" ht="28.5" x14ac:dyDescent="0.2">
      <c r="A161" s="23"/>
      <c r="B161" s="24"/>
      <c r="C161" s="24" t="s">
        <v>267</v>
      </c>
      <c r="D161" s="25"/>
      <c r="E161" s="10"/>
      <c r="F161" s="27">
        <f>Source!AO113</f>
        <v>15.83</v>
      </c>
      <c r="G161" s="26" t="str">
        <f>Source!DG113</f>
        <v>)*1,3)*0,8</v>
      </c>
      <c r="H161" s="10">
        <f>Source!AV113</f>
        <v>1</v>
      </c>
      <c r="I161" s="28">
        <f>ROUND((ROUND((Source!AF113*Source!AV113*Source!I113),2)),2)</f>
        <v>16.46</v>
      </c>
      <c r="J161" s="10">
        <f>IF(Source!BA113&lt;&gt; 0, Source!BA113, 1)</f>
        <v>24.82</v>
      </c>
      <c r="K161" s="28">
        <f>Source!S113</f>
        <v>408.54</v>
      </c>
      <c r="W161">
        <f>I161</f>
        <v>16.46</v>
      </c>
    </row>
    <row r="162" spans="1:27" ht="14.25" x14ac:dyDescent="0.2">
      <c r="A162" s="23"/>
      <c r="B162" s="24"/>
      <c r="C162" s="24" t="s">
        <v>268</v>
      </c>
      <c r="D162" s="25" t="s">
        <v>269</v>
      </c>
      <c r="E162" s="10">
        <f>Source!DN113</f>
        <v>75</v>
      </c>
      <c r="F162" s="27"/>
      <c r="G162" s="26"/>
      <c r="H162" s="10"/>
      <c r="I162" s="28">
        <f>SUM(Q160:Q161)</f>
        <v>12.35</v>
      </c>
      <c r="J162" s="10">
        <f>Source!BZ113</f>
        <v>68</v>
      </c>
      <c r="K162" s="28">
        <f>SUM(R160:R161)</f>
        <v>277.81</v>
      </c>
    </row>
    <row r="163" spans="1:27" ht="14.25" x14ac:dyDescent="0.2">
      <c r="A163" s="23"/>
      <c r="B163" s="24"/>
      <c r="C163" s="24" t="s">
        <v>270</v>
      </c>
      <c r="D163" s="25" t="s">
        <v>269</v>
      </c>
      <c r="E163" s="10">
        <f>Source!DO113</f>
        <v>70</v>
      </c>
      <c r="F163" s="27"/>
      <c r="G163" s="26"/>
      <c r="H163" s="10"/>
      <c r="I163" s="28">
        <f>SUM(S160:S162)</f>
        <v>11.52</v>
      </c>
      <c r="J163" s="10">
        <f>Source!CA113</f>
        <v>41</v>
      </c>
      <c r="K163" s="28">
        <f>SUM(T160:T162)</f>
        <v>167.5</v>
      </c>
    </row>
    <row r="164" spans="1:27" ht="28.5" x14ac:dyDescent="0.2">
      <c r="A164" s="23"/>
      <c r="B164" s="24"/>
      <c r="C164" s="24" t="s">
        <v>271</v>
      </c>
      <c r="D164" s="25" t="s">
        <v>272</v>
      </c>
      <c r="E164" s="10">
        <f>Source!AQ113</f>
        <v>1</v>
      </c>
      <c r="F164" s="27"/>
      <c r="G164" s="26" t="str">
        <f>Source!DI113</f>
        <v>)*1,3)*0,8</v>
      </c>
      <c r="H164" s="10">
        <f>Source!AV113</f>
        <v>1</v>
      </c>
      <c r="I164" s="28">
        <f>Source!U113</f>
        <v>1.04</v>
      </c>
      <c r="J164" s="10"/>
      <c r="K164" s="28"/>
    </row>
    <row r="165" spans="1:27" ht="15" x14ac:dyDescent="0.25">
      <c r="A165" s="31"/>
      <c r="B165" s="31"/>
      <c r="C165" s="31"/>
      <c r="D165" s="31"/>
      <c r="E165" s="31"/>
      <c r="F165" s="31"/>
      <c r="G165" s="31"/>
      <c r="H165" s="58">
        <f>I161+I162+I163</f>
        <v>40.33</v>
      </c>
      <c r="I165" s="58"/>
      <c r="J165" s="58">
        <f>K161+K162+K163</f>
        <v>853.85</v>
      </c>
      <c r="K165" s="58"/>
      <c r="O165" s="30">
        <f>I161+I162+I163</f>
        <v>40.33</v>
      </c>
      <c r="P165" s="30">
        <f>K161+K162+K163</f>
        <v>853.85</v>
      </c>
      <c r="X165">
        <f>IF(Source!BI113&lt;=1,I161+I162+I163-0, 0)</f>
        <v>0</v>
      </c>
      <c r="Y165">
        <f>IF(Source!BI113=2,I161+I162+I163-0, 0)</f>
        <v>0</v>
      </c>
      <c r="Z165">
        <f>IF(Source!BI113=3,I161+I162+I163-0, 0)</f>
        <v>0</v>
      </c>
      <c r="AA165">
        <f>IF(Source!BI113=4,I161+I162+I163,0)</f>
        <v>40.33</v>
      </c>
    </row>
    <row r="167" spans="1:27" ht="15" x14ac:dyDescent="0.25">
      <c r="A167" s="56" t="str">
        <f>CONCATENATE("Итого по разделу: ",IF(Source!G115&lt;&gt;"Новый раздел", Source!G115, ""))</f>
        <v>Итого по разделу: Пуско-наладочные работы</v>
      </c>
      <c r="B167" s="56"/>
      <c r="C167" s="56"/>
      <c r="D167" s="56"/>
      <c r="E167" s="56"/>
      <c r="F167" s="56"/>
      <c r="G167" s="56"/>
      <c r="H167" s="54">
        <f>SUM(O135:O166)</f>
        <v>280.68</v>
      </c>
      <c r="I167" s="55"/>
      <c r="J167" s="54">
        <f>SUM(P135:P166)</f>
        <v>5942.670000000001</v>
      </c>
      <c r="K167" s="55"/>
    </row>
    <row r="168" spans="1:27" hidden="1" x14ac:dyDescent="0.2">
      <c r="A168" t="s">
        <v>277</v>
      </c>
      <c r="H168">
        <f>SUM(AC135:AC167)</f>
        <v>0</v>
      </c>
      <c r="J168">
        <f>SUM(AD135:AD167)</f>
        <v>0</v>
      </c>
    </row>
    <row r="169" spans="1:27" hidden="1" x14ac:dyDescent="0.2">
      <c r="A169" t="s">
        <v>278</v>
      </c>
      <c r="H169">
        <f>SUM(AE135:AE168)</f>
        <v>0</v>
      </c>
      <c r="J169">
        <f>SUM(AF135:AF168)</f>
        <v>0</v>
      </c>
    </row>
    <row r="171" spans="1:27" ht="16.5" x14ac:dyDescent="0.25">
      <c r="A171" s="57" t="str">
        <f>CONCATENATE("Раздел: ",IF(Source!G145&lt;&gt;"Новый раздел", Source!G145, ""))</f>
        <v>Раздел: Материалы, не учтенные ценником.</v>
      </c>
      <c r="B171" s="57"/>
      <c r="C171" s="57"/>
      <c r="D171" s="57"/>
      <c r="E171" s="57"/>
      <c r="F171" s="57"/>
      <c r="G171" s="57"/>
      <c r="H171" s="57"/>
      <c r="I171" s="57"/>
      <c r="J171" s="57"/>
      <c r="K171" s="57"/>
    </row>
    <row r="172" spans="1:27" ht="114" x14ac:dyDescent="0.2">
      <c r="A172" s="23" t="str">
        <f>Source!E149</f>
        <v>16</v>
      </c>
      <c r="B172" s="24" t="str">
        <f>Source!F149</f>
        <v>1.23-7-217</v>
      </c>
      <c r="C172" s="24" t="s">
        <v>174</v>
      </c>
      <c r="D172" s="25" t="str">
        <f>Source!H149</f>
        <v>км</v>
      </c>
      <c r="E172" s="10">
        <f>Source!I149</f>
        <v>6.7500000000000004E-2</v>
      </c>
      <c r="F172" s="27">
        <f>Source!AL149</f>
        <v>99361.96</v>
      </c>
      <c r="G172" s="26" t="str">
        <f>Source!DD149</f>
        <v/>
      </c>
      <c r="H172" s="10">
        <f>Source!AW149</f>
        <v>1</v>
      </c>
      <c r="I172" s="28">
        <f>ROUND((ROUND((Source!AC149*Source!AW149*Source!I149),2)),2)</f>
        <v>6706.93</v>
      </c>
      <c r="J172" s="10">
        <f>IF(Source!BC149&lt;&gt; 0, Source!BC149, 1)</f>
        <v>3.43</v>
      </c>
      <c r="K172" s="28">
        <f>Source!P149</f>
        <v>23004.77</v>
      </c>
      <c r="Q172">
        <f>ROUND((Source!DN149/100)*ROUND((ROUND((Source!AF149*Source!AV149*Source!I149),2)),2), 2)</f>
        <v>0</v>
      </c>
      <c r="R172">
        <f>Source!X149</f>
        <v>0</v>
      </c>
      <c r="S172">
        <f>ROUND((Source!DO149/100)*ROUND((ROUND((Source!AF149*Source!AV149*Source!I149),2)),2), 2)</f>
        <v>0</v>
      </c>
      <c r="T172">
        <f>Source!Y149</f>
        <v>0</v>
      </c>
      <c r="U172">
        <f>ROUND((175/100)*ROUND((ROUND((Source!AE149*Source!AV149*Source!I149),2)),2), 2)</f>
        <v>0</v>
      </c>
      <c r="V172">
        <f>ROUND((157/100)*ROUND(ROUND((ROUND((Source!AE149*Source!AV149*Source!I149),2)*Source!BS149),2), 2), 2)</f>
        <v>0</v>
      </c>
    </row>
    <row r="173" spans="1:27" x14ac:dyDescent="0.2">
      <c r="C173" s="29" t="str">
        <f>"Объем: "&amp;Source!I149&amp;"="&amp;Source!I71&amp;"/"&amp;"10+"&amp;""&amp;Source!I72&amp;"/"&amp;"10"</f>
        <v>Объем: 0,0675=0,663/10+0,012/10</v>
      </c>
    </row>
    <row r="174" spans="1:27" ht="15" x14ac:dyDescent="0.25">
      <c r="A174" s="31"/>
      <c r="B174" s="31"/>
      <c r="C174" s="31"/>
      <c r="D174" s="31"/>
      <c r="E174" s="31"/>
      <c r="F174" s="31"/>
      <c r="G174" s="31"/>
      <c r="H174" s="58">
        <f>I172</f>
        <v>6706.93</v>
      </c>
      <c r="I174" s="58"/>
      <c r="J174" s="58">
        <f>K172</f>
        <v>23004.77</v>
      </c>
      <c r="K174" s="58"/>
      <c r="O174" s="30">
        <f>I172</f>
        <v>6706.93</v>
      </c>
      <c r="P174" s="30">
        <f>K172</f>
        <v>23004.77</v>
      </c>
      <c r="X174">
        <f>IF(Source!BI149&lt;=1,I172-0, 0)</f>
        <v>0</v>
      </c>
      <c r="Y174">
        <f>IF(Source!BI149=2,I172-0, 0)</f>
        <v>6706.93</v>
      </c>
      <c r="Z174">
        <f>IF(Source!BI149=3,I172-0, 0)</f>
        <v>0</v>
      </c>
      <c r="AA174">
        <f>IF(Source!BI149=4,I172,0)</f>
        <v>0</v>
      </c>
    </row>
    <row r="175" spans="1:27" ht="99.75" x14ac:dyDescent="0.2">
      <c r="A175" s="23" t="str">
        <f>Source!E150</f>
        <v>17</v>
      </c>
      <c r="B175" s="24" t="str">
        <f>Source!F150</f>
        <v>1.21-5-281</v>
      </c>
      <c r="C175" s="24" t="s">
        <v>181</v>
      </c>
      <c r="D175" s="25" t="str">
        <f>Source!H150</f>
        <v>компл.</v>
      </c>
      <c r="E175" s="10">
        <f>Source!I150</f>
        <v>2</v>
      </c>
      <c r="F175" s="27">
        <f>Source!AL150</f>
        <v>306.16000000000003</v>
      </c>
      <c r="G175" s="26" t="str">
        <f>Source!DD150</f>
        <v/>
      </c>
      <c r="H175" s="10">
        <f>Source!AW150</f>
        <v>1</v>
      </c>
      <c r="I175" s="28">
        <f>ROUND((ROUND((Source!AC150*Source!AW150*Source!I150),2)),2)</f>
        <v>612.32000000000005</v>
      </c>
      <c r="J175" s="10">
        <f>IF(Source!BC150&lt;&gt; 0, Source!BC150, 1)</f>
        <v>3.02</v>
      </c>
      <c r="K175" s="28">
        <f>Source!P150</f>
        <v>1849.21</v>
      </c>
      <c r="Q175">
        <f>ROUND((Source!DN150/100)*ROUND((ROUND((Source!AF150*Source!AV150*Source!I150),2)),2), 2)</f>
        <v>0</v>
      </c>
      <c r="R175">
        <f>Source!X150</f>
        <v>0</v>
      </c>
      <c r="S175">
        <f>ROUND((Source!DO150/100)*ROUND((ROUND((Source!AF150*Source!AV150*Source!I150),2)),2), 2)</f>
        <v>0</v>
      </c>
      <c r="T175">
        <f>Source!Y150</f>
        <v>0</v>
      </c>
      <c r="U175">
        <f>ROUND((175/100)*ROUND((ROUND((Source!AE150*Source!AV150*Source!I150),2)),2), 2)</f>
        <v>0</v>
      </c>
      <c r="V175">
        <f>ROUND((157/100)*ROUND(ROUND((ROUND((Source!AE150*Source!AV150*Source!I150),2)*Source!BS150),2), 2), 2)</f>
        <v>0</v>
      </c>
    </row>
    <row r="176" spans="1:27" ht="15" x14ac:dyDescent="0.25">
      <c r="A176" s="31"/>
      <c r="B176" s="31"/>
      <c r="C176" s="31"/>
      <c r="D176" s="31"/>
      <c r="E176" s="31"/>
      <c r="F176" s="31"/>
      <c r="G176" s="31"/>
      <c r="H176" s="58">
        <f>I175</f>
        <v>612.32000000000005</v>
      </c>
      <c r="I176" s="58"/>
      <c r="J176" s="58">
        <f>K175</f>
        <v>1849.21</v>
      </c>
      <c r="K176" s="58"/>
      <c r="O176" s="30">
        <f>I175</f>
        <v>612.32000000000005</v>
      </c>
      <c r="P176" s="30">
        <f>K175</f>
        <v>1849.21</v>
      </c>
      <c r="X176">
        <f>IF(Source!BI150&lt;=1,I175-0, 0)</f>
        <v>0</v>
      </c>
      <c r="Y176">
        <f>IF(Source!BI150=2,I175-0, 0)</f>
        <v>612.32000000000005</v>
      </c>
      <c r="Z176">
        <f>IF(Source!BI150=3,I175-0, 0)</f>
        <v>0</v>
      </c>
      <c r="AA176">
        <f>IF(Source!BI150=4,I175,0)</f>
        <v>0</v>
      </c>
    </row>
    <row r="177" spans="1:27" ht="57" x14ac:dyDescent="0.2">
      <c r="A177" s="23" t="str">
        <f>Source!E151</f>
        <v>18</v>
      </c>
      <c r="B177" s="24" t="str">
        <f>Source!F151</f>
        <v>1.1-1-766</v>
      </c>
      <c r="C177" s="24" t="s">
        <v>186</v>
      </c>
      <c r="D177" s="25" t="str">
        <f>Source!H151</f>
        <v>м3</v>
      </c>
      <c r="E177" s="10">
        <f>Source!I151</f>
        <v>8.9700000000000006</v>
      </c>
      <c r="F177" s="27">
        <f>Source!AL151</f>
        <v>104.99</v>
      </c>
      <c r="G177" s="26" t="str">
        <f>Source!DD151</f>
        <v/>
      </c>
      <c r="H177" s="10">
        <f>Source!AW151</f>
        <v>1</v>
      </c>
      <c r="I177" s="28">
        <f>ROUND((ROUND((Source!AC151*Source!AW151*Source!I151),2)),2)</f>
        <v>941.76</v>
      </c>
      <c r="J177" s="10">
        <f>IF(Source!BC151&lt;&gt; 0, Source!BC151, 1)</f>
        <v>5.5</v>
      </c>
      <c r="K177" s="28">
        <f>Source!P151</f>
        <v>5179.68</v>
      </c>
      <c r="Q177">
        <f>ROUND((Source!DN151/100)*ROUND((ROUND((Source!AF151*Source!AV151*Source!I151),2)),2), 2)</f>
        <v>0</v>
      </c>
      <c r="R177">
        <f>Source!X151</f>
        <v>0</v>
      </c>
      <c r="S177">
        <f>ROUND((Source!DO151/100)*ROUND((ROUND((Source!AF151*Source!AV151*Source!I151),2)),2), 2)</f>
        <v>0</v>
      </c>
      <c r="T177">
        <f>Source!Y151</f>
        <v>0</v>
      </c>
      <c r="U177">
        <f>ROUND((175/100)*ROUND((ROUND((Source!AE151*Source!AV151*Source!I151),2)),2), 2)</f>
        <v>0</v>
      </c>
      <c r="V177">
        <f>ROUND((157/100)*ROUND(ROUND((ROUND((Source!AE151*Source!AV151*Source!I151),2)*Source!BS151),2), 2), 2)</f>
        <v>0</v>
      </c>
    </row>
    <row r="178" spans="1:27" x14ac:dyDescent="0.2">
      <c r="C178" s="29" t="str">
        <f>"Объем: "&amp;Source!I151&amp;"=65*"&amp;"0,4*"&amp;"0,3*"&amp;"1,15"</f>
        <v>Объем: 8,97=65*0,4*0,3*1,15</v>
      </c>
    </row>
    <row r="179" spans="1:27" ht="15" x14ac:dyDescent="0.25">
      <c r="A179" s="31"/>
      <c r="B179" s="31"/>
      <c r="C179" s="31"/>
      <c r="D179" s="31"/>
      <c r="E179" s="31"/>
      <c r="F179" s="31"/>
      <c r="G179" s="31"/>
      <c r="H179" s="58">
        <f>I177</f>
        <v>941.76</v>
      </c>
      <c r="I179" s="58"/>
      <c r="J179" s="58">
        <f>K177</f>
        <v>5179.68</v>
      </c>
      <c r="K179" s="58"/>
      <c r="O179" s="30">
        <f>I177</f>
        <v>941.76</v>
      </c>
      <c r="P179" s="30">
        <f>K177</f>
        <v>5179.68</v>
      </c>
      <c r="X179">
        <f>IF(Source!BI151&lt;=1,I177-0, 0)</f>
        <v>941.76</v>
      </c>
      <c r="Y179">
        <f>IF(Source!BI151=2,I177-0, 0)</f>
        <v>0</v>
      </c>
      <c r="Z179">
        <f>IF(Source!BI151=3,I177-0, 0)</f>
        <v>0</v>
      </c>
      <c r="AA179">
        <f>IF(Source!BI151=4,I177,0)</f>
        <v>0</v>
      </c>
    </row>
    <row r="180" spans="1:27" ht="114" x14ac:dyDescent="0.2">
      <c r="A180" s="23" t="str">
        <f>Source!E152</f>
        <v>19</v>
      </c>
      <c r="B180" s="24" t="str">
        <f>Source!F152</f>
        <v>1.12-5-645</v>
      </c>
      <c r="C180" s="24" t="s">
        <v>194</v>
      </c>
      <c r="D180" s="25" t="str">
        <f>Source!H152</f>
        <v>м</v>
      </c>
      <c r="E180" s="10">
        <f>Source!I152</f>
        <v>1.2E-2</v>
      </c>
      <c r="F180" s="27">
        <f>Source!AL152</f>
        <v>267.61</v>
      </c>
      <c r="G180" s="26" t="str">
        <f>Source!DD152</f>
        <v/>
      </c>
      <c r="H180" s="10">
        <f>Source!AW152</f>
        <v>1</v>
      </c>
      <c r="I180" s="28">
        <f>ROUND((ROUND((Source!AC152*Source!AW152*Source!I152),2)),2)</f>
        <v>3.21</v>
      </c>
      <c r="J180" s="10">
        <f>IF(Source!BC152&lt;&gt; 0, Source!BC152, 1)</f>
        <v>1</v>
      </c>
      <c r="K180" s="28">
        <f>Source!P152</f>
        <v>3.21</v>
      </c>
      <c r="Q180">
        <f>ROUND((Source!DN152/100)*ROUND((ROUND((Source!AF152*Source!AV152*Source!I152),2)),2), 2)</f>
        <v>0</v>
      </c>
      <c r="R180">
        <f>Source!X152</f>
        <v>0</v>
      </c>
      <c r="S180">
        <f>ROUND((Source!DO152/100)*ROUND((ROUND((Source!AF152*Source!AV152*Source!I152),2)),2), 2)</f>
        <v>0</v>
      </c>
      <c r="T180">
        <f>Source!Y152</f>
        <v>0</v>
      </c>
      <c r="U180">
        <f>ROUND((175/100)*ROUND((ROUND((Source!AE152*Source!AV152*Source!I152),2)),2), 2)</f>
        <v>0</v>
      </c>
      <c r="V180">
        <f>ROUND((157/100)*ROUND(ROUND((ROUND((Source!AE152*Source!AV152*Source!I152),2)*Source!BS152),2), 2), 2)</f>
        <v>0</v>
      </c>
    </row>
    <row r="181" spans="1:27" ht="15" x14ac:dyDescent="0.25">
      <c r="A181" s="31"/>
      <c r="B181" s="31"/>
      <c r="C181" s="31"/>
      <c r="D181" s="31"/>
      <c r="E181" s="31"/>
      <c r="F181" s="31"/>
      <c r="G181" s="31"/>
      <c r="H181" s="58">
        <f>I180</f>
        <v>3.21</v>
      </c>
      <c r="I181" s="58"/>
      <c r="J181" s="58">
        <f>K180</f>
        <v>3.21</v>
      </c>
      <c r="K181" s="58"/>
      <c r="O181" s="30">
        <f>I180</f>
        <v>3.21</v>
      </c>
      <c r="P181" s="30">
        <f>K180</f>
        <v>3.21</v>
      </c>
      <c r="X181">
        <f>IF(Source!BI152&lt;=1,I180-0, 0)</f>
        <v>3.21</v>
      </c>
      <c r="Y181">
        <f>IF(Source!BI152=2,I180-0, 0)</f>
        <v>0</v>
      </c>
      <c r="Z181">
        <f>IF(Source!BI152=3,I180-0, 0)</f>
        <v>0</v>
      </c>
      <c r="AA181">
        <f>IF(Source!BI152=4,I180,0)</f>
        <v>0</v>
      </c>
    </row>
    <row r="183" spans="1:27" ht="15" x14ac:dyDescent="0.25">
      <c r="A183" s="56" t="str">
        <f>CONCATENATE("Итого по разделу: ",IF(Source!G154&lt;&gt;"Новый раздел", Source!G154, ""))</f>
        <v>Итого по разделу: Материалы, не учтенные ценником.</v>
      </c>
      <c r="B183" s="56"/>
      <c r="C183" s="56"/>
      <c r="D183" s="56"/>
      <c r="E183" s="56"/>
      <c r="F183" s="56"/>
      <c r="G183" s="56"/>
      <c r="H183" s="54">
        <f>SUM(O171:O182)</f>
        <v>8264.2199999999993</v>
      </c>
      <c r="I183" s="55"/>
      <c r="J183" s="54">
        <f>SUM(P171:P182)</f>
        <v>30036.87</v>
      </c>
      <c r="K183" s="55"/>
    </row>
    <row r="184" spans="1:27" hidden="1" x14ac:dyDescent="0.2">
      <c r="A184" t="s">
        <v>277</v>
      </c>
      <c r="H184">
        <f>SUM(AC171:AC183)</f>
        <v>0</v>
      </c>
      <c r="J184">
        <f>SUM(AD171:AD183)</f>
        <v>0</v>
      </c>
    </row>
    <row r="185" spans="1:27" hidden="1" x14ac:dyDescent="0.2">
      <c r="A185" t="s">
        <v>278</v>
      </c>
      <c r="H185">
        <f>SUM(AE171:AE184)</f>
        <v>0</v>
      </c>
      <c r="J185">
        <f>SUM(AF171:AF184)</f>
        <v>0</v>
      </c>
    </row>
    <row r="187" spans="1:27" ht="16.5" x14ac:dyDescent="0.25">
      <c r="A187" s="57" t="str">
        <f>CONCATENATE("Раздел: ",IF(Source!G184&lt;&gt;"Новый раздел", Source!G184, ""))</f>
        <v>Раздел: Прочие затраты.</v>
      </c>
      <c r="B187" s="57"/>
      <c r="C187" s="57"/>
      <c r="D187" s="57"/>
      <c r="E187" s="57"/>
      <c r="F187" s="57"/>
      <c r="G187" s="57"/>
      <c r="H187" s="57"/>
      <c r="I187" s="57"/>
      <c r="J187" s="57"/>
      <c r="K187" s="57"/>
    </row>
    <row r="188" spans="1:27" ht="42.75" x14ac:dyDescent="0.2">
      <c r="A188" s="23" t="str">
        <f>Source!E188</f>
        <v>20</v>
      </c>
      <c r="B188" s="24" t="str">
        <f>Source!F188</f>
        <v>6.69-19-1</v>
      </c>
      <c r="C188" s="24" t="s">
        <v>200</v>
      </c>
      <c r="D188" s="25" t="str">
        <f>Source!H188</f>
        <v>т</v>
      </c>
      <c r="E188" s="10">
        <f>Source!I188</f>
        <v>0.1</v>
      </c>
      <c r="F188" s="27"/>
      <c r="G188" s="26"/>
      <c r="H188" s="10"/>
      <c r="I188" s="28"/>
      <c r="J188" s="10"/>
      <c r="K188" s="28"/>
      <c r="Q188">
        <f>ROUND((Source!DN188/100)*ROUND((ROUND((Source!AF188*Source!AV188*Source!I188),2)),2), 2)</f>
        <v>1.1000000000000001</v>
      </c>
      <c r="R188">
        <f>Source!X188</f>
        <v>21.92</v>
      </c>
      <c r="S188">
        <f>ROUND((Source!DO188/100)*ROUND((ROUND((Source!AF188*Source!AV188*Source!I188),2)),2), 2)</f>
        <v>0.85</v>
      </c>
      <c r="T188">
        <f>Source!Y188</f>
        <v>12.31</v>
      </c>
      <c r="U188">
        <f>ROUND((175/100)*ROUND((ROUND((Source!AE188*Source!AV188*Source!I188),2)),2), 2)</f>
        <v>0</v>
      </c>
      <c r="V188">
        <f>ROUND((157/100)*ROUND(ROUND((ROUND((Source!AE188*Source!AV188*Source!I188),2)*Source!BS188),2), 2), 2)</f>
        <v>0</v>
      </c>
    </row>
    <row r="189" spans="1:27" ht="14.25" x14ac:dyDescent="0.2">
      <c r="A189" s="23"/>
      <c r="B189" s="24"/>
      <c r="C189" s="24" t="s">
        <v>267</v>
      </c>
      <c r="D189" s="25"/>
      <c r="E189" s="10"/>
      <c r="F189" s="27">
        <f>Source!AO188</f>
        <v>9.6199999999999992</v>
      </c>
      <c r="G189" s="26" t="str">
        <f>Source!DG188</f>
        <v>)*1,2</v>
      </c>
      <c r="H189" s="10">
        <f>Source!AV188</f>
        <v>1.0469999999999999</v>
      </c>
      <c r="I189" s="28">
        <f>ROUND((ROUND((Source!AF188*Source!AV188*Source!I188),2)),2)</f>
        <v>1.21</v>
      </c>
      <c r="J189" s="10">
        <f>IF(Source!BA188&lt;&gt; 0, Source!BA188, 1)</f>
        <v>24.82</v>
      </c>
      <c r="K189" s="28">
        <f>Source!S188</f>
        <v>30.03</v>
      </c>
      <c r="W189">
        <f>I189</f>
        <v>1.21</v>
      </c>
    </row>
    <row r="190" spans="1:27" ht="14.25" x14ac:dyDescent="0.2">
      <c r="A190" s="23"/>
      <c r="B190" s="24"/>
      <c r="C190" s="24" t="s">
        <v>268</v>
      </c>
      <c r="D190" s="25" t="s">
        <v>269</v>
      </c>
      <c r="E190" s="10">
        <f>Source!DN188</f>
        <v>91</v>
      </c>
      <c r="F190" s="27"/>
      <c r="G190" s="26"/>
      <c r="H190" s="10"/>
      <c r="I190" s="28">
        <f>SUM(Q188:Q189)</f>
        <v>1.1000000000000001</v>
      </c>
      <c r="J190" s="10">
        <f>Source!BZ188</f>
        <v>73</v>
      </c>
      <c r="K190" s="28">
        <f>SUM(R188:R189)</f>
        <v>21.92</v>
      </c>
    </row>
    <row r="191" spans="1:27" ht="14.25" x14ac:dyDescent="0.2">
      <c r="A191" s="23"/>
      <c r="B191" s="24"/>
      <c r="C191" s="24" t="s">
        <v>270</v>
      </c>
      <c r="D191" s="25" t="s">
        <v>269</v>
      </c>
      <c r="E191" s="10">
        <f>Source!DO188</f>
        <v>70</v>
      </c>
      <c r="F191" s="27"/>
      <c r="G191" s="26"/>
      <c r="H191" s="10"/>
      <c r="I191" s="28">
        <f>SUM(S188:S190)</f>
        <v>0.85</v>
      </c>
      <c r="J191" s="10">
        <f>Source!CA188</f>
        <v>41</v>
      </c>
      <c r="K191" s="28">
        <f>SUM(T188:T190)</f>
        <v>12.31</v>
      </c>
    </row>
    <row r="192" spans="1:27" ht="14.25" x14ac:dyDescent="0.2">
      <c r="A192" s="23"/>
      <c r="B192" s="24"/>
      <c r="C192" s="24" t="s">
        <v>271</v>
      </c>
      <c r="D192" s="25" t="s">
        <v>272</v>
      </c>
      <c r="E192" s="10">
        <f>Source!AQ188</f>
        <v>1.02</v>
      </c>
      <c r="F192" s="27"/>
      <c r="G192" s="26" t="str">
        <f>Source!DI188</f>
        <v>)*1,2</v>
      </c>
      <c r="H192" s="10">
        <f>Source!AV188</f>
        <v>1.0469999999999999</v>
      </c>
      <c r="I192" s="28">
        <f>Source!U188</f>
        <v>0.12815280000000001</v>
      </c>
      <c r="J192" s="10"/>
      <c r="K192" s="28"/>
    </row>
    <row r="193" spans="1:38" ht="15" x14ac:dyDescent="0.25">
      <c r="A193" s="31"/>
      <c r="B193" s="31"/>
      <c r="C193" s="31"/>
      <c r="D193" s="31"/>
      <c r="E193" s="31"/>
      <c r="F193" s="31"/>
      <c r="G193" s="31"/>
      <c r="H193" s="58">
        <f>I189+I190+I191</f>
        <v>3.16</v>
      </c>
      <c r="I193" s="58"/>
      <c r="J193" s="58">
        <f>K189+K190+K191</f>
        <v>64.260000000000005</v>
      </c>
      <c r="K193" s="58"/>
      <c r="O193" s="30">
        <f>I189+I190+I191</f>
        <v>3.16</v>
      </c>
      <c r="P193" s="30">
        <f>K189+K190+K191</f>
        <v>64.260000000000005</v>
      </c>
      <c r="X193">
        <f>IF(Source!BI188&lt;=1,I189+I190+I191-0, 0)</f>
        <v>3.16</v>
      </c>
      <c r="Y193">
        <f>IF(Source!BI188=2,I189+I190+I191-0, 0)</f>
        <v>0</v>
      </c>
      <c r="Z193">
        <f>IF(Source!BI188=3,I189+I190+I191-0, 0)</f>
        <v>0</v>
      </c>
      <c r="AA193">
        <f>IF(Source!BI188=4,I189+I190+I191,0)</f>
        <v>0</v>
      </c>
    </row>
    <row r="195" spans="1:38" ht="15" x14ac:dyDescent="0.25">
      <c r="A195" s="56" t="str">
        <f>CONCATENATE("Итого по разделу: ",IF(Source!G190&lt;&gt;"Новый раздел", Source!G190, ""))</f>
        <v>Итого по разделу: Прочие затраты.</v>
      </c>
      <c r="B195" s="56"/>
      <c r="C195" s="56"/>
      <c r="D195" s="56"/>
      <c r="E195" s="56"/>
      <c r="F195" s="56"/>
      <c r="G195" s="56"/>
      <c r="H195" s="54">
        <f>SUM(O187:O194)</f>
        <v>3.16</v>
      </c>
      <c r="I195" s="55"/>
      <c r="J195" s="54">
        <f>SUM(P187:P194)</f>
        <v>64.260000000000005</v>
      </c>
      <c r="K195" s="55"/>
    </row>
    <row r="196" spans="1:38" hidden="1" x14ac:dyDescent="0.2">
      <c r="A196" t="s">
        <v>277</v>
      </c>
      <c r="H196">
        <f>SUM(AC187:AC195)</f>
        <v>0</v>
      </c>
      <c r="J196">
        <f>SUM(AD187:AD195)</f>
        <v>0</v>
      </c>
    </row>
    <row r="197" spans="1:38" hidden="1" x14ac:dyDescent="0.2">
      <c r="A197" t="s">
        <v>278</v>
      </c>
      <c r="H197">
        <f>SUM(AE187:AE196)</f>
        <v>0</v>
      </c>
      <c r="J197">
        <f>SUM(AF187:AF196)</f>
        <v>0</v>
      </c>
    </row>
    <row r="199" spans="1:38" ht="15" x14ac:dyDescent="0.25">
      <c r="A199" s="56" t="str">
        <f>CONCATENATE("Итого по локальной смете: ",IF(Source!G220&lt;&gt;"Новая локальная смета", Source!G220, ""))</f>
        <v>Итого по локальной смете: КЛ-0,4 от ул. Центральная, д.6 до ул.Центральная, д.8.</v>
      </c>
      <c r="B199" s="56"/>
      <c r="C199" s="56"/>
      <c r="D199" s="56"/>
      <c r="E199" s="56"/>
      <c r="F199" s="56"/>
      <c r="G199" s="56"/>
      <c r="H199" s="54">
        <f>SUM(O33:O198)</f>
        <v>14876.689999999997</v>
      </c>
      <c r="I199" s="55"/>
      <c r="J199" s="54">
        <f>SUM(P33:P198)</f>
        <v>135537.02000000002</v>
      </c>
      <c r="K199" s="55"/>
      <c r="AL199" s="35" t="str">
        <f>CONCATENATE("Итого по локальной смете: ",IF(Source!G220&lt;&gt;"Новая локальная смета", Source!G220, ""))</f>
        <v>Итого по локальной смете: КЛ-0,4 от ул. Центральная, д.6 до ул.Центральная, д.8.</v>
      </c>
    </row>
    <row r="200" spans="1:38" hidden="1" x14ac:dyDescent="0.2">
      <c r="A200" t="s">
        <v>277</v>
      </c>
      <c r="H200">
        <f>SUM(AC33:AC199)</f>
        <v>0</v>
      </c>
      <c r="J200">
        <f>SUM(AD33:AD199)</f>
        <v>0</v>
      </c>
    </row>
    <row r="201" spans="1:38" hidden="1" x14ac:dyDescent="0.2">
      <c r="A201" t="s">
        <v>278</v>
      </c>
      <c r="H201">
        <f>SUM(AE33:AE200)</f>
        <v>0</v>
      </c>
      <c r="J201">
        <f>SUM(AF33:AF200)</f>
        <v>0</v>
      </c>
    </row>
    <row r="203" spans="1:38" ht="15" x14ac:dyDescent="0.25">
      <c r="A203" s="56" t="str">
        <f>CONCATENATE("Итого по смете: ",IF(Source!G250&lt;&gt;"Новый объект", Source!G250, ""))</f>
        <v>Итого по смете: КЛ-0,4 от ул.Центральная, д.6 до ул.Центральная, д.8.</v>
      </c>
      <c r="B203" s="56"/>
      <c r="C203" s="56"/>
      <c r="D203" s="56"/>
      <c r="E203" s="56"/>
      <c r="F203" s="56"/>
      <c r="G203" s="56"/>
      <c r="H203" s="54">
        <f>SUM(O1:O202)</f>
        <v>14876.689999999997</v>
      </c>
      <c r="I203" s="55"/>
      <c r="J203" s="54">
        <f>SUM(P1:P202)</f>
        <v>135537.02000000002</v>
      </c>
      <c r="K203" s="55"/>
      <c r="AL203" s="35" t="str">
        <f>CONCATENATE("Итого по смете: ",IF(Source!G250&lt;&gt;"Новый объект", Source!G250, ""))</f>
        <v>Итого по смете: КЛ-0,4 от ул.Центральная, д.6 до ул.Центральная, д.8.</v>
      </c>
    </row>
    <row r="204" spans="1:38" hidden="1" x14ac:dyDescent="0.2">
      <c r="A204" t="s">
        <v>277</v>
      </c>
      <c r="H204">
        <f>SUM(AC1:AC203)</f>
        <v>0</v>
      </c>
      <c r="J204">
        <f>SUM(AD1:AD203)</f>
        <v>0</v>
      </c>
    </row>
    <row r="205" spans="1:38" hidden="1" x14ac:dyDescent="0.2">
      <c r="A205" t="s">
        <v>278</v>
      </c>
      <c r="H205">
        <f>SUM(AE1:AE204)</f>
        <v>0</v>
      </c>
      <c r="J205">
        <f>SUM(AF1:AF204)</f>
        <v>0</v>
      </c>
    </row>
    <row r="206" spans="1:38" ht="14.25" x14ac:dyDescent="0.2">
      <c r="C206" s="50" t="str">
        <f>Source!H279</f>
        <v>Итого</v>
      </c>
      <c r="D206" s="50"/>
      <c r="E206" s="50"/>
      <c r="F206" s="50"/>
      <c r="G206" s="50"/>
      <c r="H206" s="50"/>
      <c r="I206" s="50"/>
      <c r="J206" s="51">
        <f>IF(Source!F279=0, "", Source!F279)</f>
        <v>135537.01999999999</v>
      </c>
      <c r="K206" s="51"/>
    </row>
    <row r="207" spans="1:38" ht="14.25" x14ac:dyDescent="0.2">
      <c r="C207" s="50" t="str">
        <f>Source!H280</f>
        <v>НДС 20%</v>
      </c>
      <c r="D207" s="50"/>
      <c r="E207" s="50"/>
      <c r="F207" s="50"/>
      <c r="G207" s="50"/>
      <c r="H207" s="50"/>
      <c r="I207" s="50"/>
      <c r="J207" s="51">
        <f>IF(Source!F280=0, "", Source!F280)</f>
        <v>27107.4</v>
      </c>
      <c r="K207" s="51"/>
    </row>
    <row r="208" spans="1:38" ht="22.5" customHeight="1" x14ac:dyDescent="0.25">
      <c r="C208" s="50" t="str">
        <f>Source!H281</f>
        <v>Итого с НДС</v>
      </c>
      <c r="D208" s="50"/>
      <c r="E208" s="50"/>
      <c r="F208" s="50"/>
      <c r="G208" s="50"/>
      <c r="H208" s="50"/>
      <c r="I208" s="50"/>
      <c r="J208" s="54">
        <f>IF(Source!F281=0, "", Source!F281)</f>
        <v>162644.42000000001</v>
      </c>
      <c r="K208" s="54"/>
    </row>
    <row r="211" spans="1:11" ht="14.25" x14ac:dyDescent="0.2">
      <c r="A211" s="52" t="s">
        <v>280</v>
      </c>
      <c r="B211" s="52"/>
      <c r="C211" s="36" t="str">
        <f>IF(Source!AC12&lt;&gt;"", Source!AC12," ")</f>
        <v>Зам.начальника ПТО</v>
      </c>
      <c r="D211" s="36"/>
      <c r="E211" s="36"/>
      <c r="F211" s="36"/>
      <c r="G211" s="36"/>
      <c r="H211" s="53" t="str">
        <f>IF(Source!AB12&lt;&gt;"", Source!AB12," ")</f>
        <v>Алиева И.Е.</v>
      </c>
      <c r="I211" s="53"/>
      <c r="J211" s="53"/>
      <c r="K211" s="53"/>
    </row>
    <row r="212" spans="1:11" ht="14.25" x14ac:dyDescent="0.2">
      <c r="A212" s="11"/>
      <c r="B212" s="11"/>
      <c r="C212" s="49" t="s">
        <v>281</v>
      </c>
      <c r="D212" s="49"/>
      <c r="E212" s="49"/>
      <c r="F212" s="49"/>
      <c r="G212" s="49"/>
      <c r="H212" s="11"/>
      <c r="I212" s="11"/>
      <c r="J212" s="11"/>
      <c r="K212" s="11"/>
    </row>
    <row r="213" spans="1:11" ht="14.25" x14ac:dyDescent="0.2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</row>
    <row r="214" spans="1:11" ht="14.25" x14ac:dyDescent="0.2">
      <c r="A214" s="52" t="s">
        <v>282</v>
      </c>
      <c r="B214" s="52"/>
      <c r="C214" s="36" t="str">
        <f>IF(Source!AE12&lt;&gt;"", Source!AE12," ")</f>
        <v>Главный инженер</v>
      </c>
      <c r="D214" s="36"/>
      <c r="E214" s="36"/>
      <c r="F214" s="36"/>
      <c r="G214" s="36"/>
      <c r="H214" s="53" t="str">
        <f>IF(Source!AD12&lt;&gt;"", Source!AD12," ")</f>
        <v>Алексеев Е.В.</v>
      </c>
      <c r="I214" s="53"/>
      <c r="J214" s="53"/>
      <c r="K214" s="53"/>
    </row>
    <row r="215" spans="1:11" ht="14.25" x14ac:dyDescent="0.2">
      <c r="A215" s="11"/>
      <c r="B215" s="11"/>
      <c r="C215" s="49" t="s">
        <v>281</v>
      </c>
      <c r="D215" s="49"/>
      <c r="E215" s="49"/>
      <c r="F215" s="49"/>
      <c r="G215" s="49"/>
      <c r="H215" s="11"/>
      <c r="I215" s="11"/>
      <c r="J215" s="11"/>
      <c r="K215" s="11"/>
    </row>
  </sheetData>
  <mergeCells count="103">
    <mergeCell ref="A12:K12"/>
    <mergeCell ref="A14:K14"/>
    <mergeCell ref="A16:K16"/>
    <mergeCell ref="A17:K17"/>
    <mergeCell ref="A19:K19"/>
    <mergeCell ref="F21:H21"/>
    <mergeCell ref="B7:E7"/>
    <mergeCell ref="G7:K7"/>
    <mergeCell ref="J2:K2"/>
    <mergeCell ref="A11:K11"/>
    <mergeCell ref="B3:E3"/>
    <mergeCell ref="G3:K3"/>
    <mergeCell ref="B4:E4"/>
    <mergeCell ref="G4:K4"/>
    <mergeCell ref="B6:E6"/>
    <mergeCell ref="G6:K6"/>
    <mergeCell ref="F28:H28"/>
    <mergeCell ref="A29:K29"/>
    <mergeCell ref="A33:K33"/>
    <mergeCell ref="A35:K35"/>
    <mergeCell ref="J42:K42"/>
    <mergeCell ref="H42:I42"/>
    <mergeCell ref="F22:H22"/>
    <mergeCell ref="F23:H23"/>
    <mergeCell ref="F24:H24"/>
    <mergeCell ref="F25:H25"/>
    <mergeCell ref="F26:H26"/>
    <mergeCell ref="F27:H27"/>
    <mergeCell ref="J72:K72"/>
    <mergeCell ref="H72:I72"/>
    <mergeCell ref="J83:K83"/>
    <mergeCell ref="H83:I83"/>
    <mergeCell ref="J92:K92"/>
    <mergeCell ref="H92:I92"/>
    <mergeCell ref="J48:K48"/>
    <mergeCell ref="H48:I48"/>
    <mergeCell ref="J54:K54"/>
    <mergeCell ref="H54:I54"/>
    <mergeCell ref="J65:K65"/>
    <mergeCell ref="H65:I65"/>
    <mergeCell ref="J119:K119"/>
    <mergeCell ref="H119:I119"/>
    <mergeCell ref="J129:K129"/>
    <mergeCell ref="H129:I129"/>
    <mergeCell ref="J131:K131"/>
    <mergeCell ref="H131:I131"/>
    <mergeCell ref="J94:K94"/>
    <mergeCell ref="H94:I94"/>
    <mergeCell ref="A94:G94"/>
    <mergeCell ref="A98:K98"/>
    <mergeCell ref="J109:K109"/>
    <mergeCell ref="H109:I109"/>
    <mergeCell ref="J153:K153"/>
    <mergeCell ref="H153:I153"/>
    <mergeCell ref="J159:K159"/>
    <mergeCell ref="H159:I159"/>
    <mergeCell ref="J165:K165"/>
    <mergeCell ref="H165:I165"/>
    <mergeCell ref="A131:G131"/>
    <mergeCell ref="A135:K135"/>
    <mergeCell ref="J141:K141"/>
    <mergeCell ref="H141:I141"/>
    <mergeCell ref="J147:K147"/>
    <mergeCell ref="H147:I147"/>
    <mergeCell ref="J176:K176"/>
    <mergeCell ref="H176:I176"/>
    <mergeCell ref="J179:K179"/>
    <mergeCell ref="H179:I179"/>
    <mergeCell ref="J181:K181"/>
    <mergeCell ref="H181:I181"/>
    <mergeCell ref="J167:K167"/>
    <mergeCell ref="H167:I167"/>
    <mergeCell ref="A167:G167"/>
    <mergeCell ref="A171:K171"/>
    <mergeCell ref="J174:K174"/>
    <mergeCell ref="H174:I174"/>
    <mergeCell ref="J195:K195"/>
    <mergeCell ref="H195:I195"/>
    <mergeCell ref="A195:G195"/>
    <mergeCell ref="J199:K199"/>
    <mergeCell ref="H199:I199"/>
    <mergeCell ref="A199:G199"/>
    <mergeCell ref="J183:K183"/>
    <mergeCell ref="H183:I183"/>
    <mergeCell ref="A183:G183"/>
    <mergeCell ref="A187:K187"/>
    <mergeCell ref="J193:K193"/>
    <mergeCell ref="H193:I193"/>
    <mergeCell ref="C215:G215"/>
    <mergeCell ref="C208:I208"/>
    <mergeCell ref="J208:K208"/>
    <mergeCell ref="A211:B211"/>
    <mergeCell ref="H211:K211"/>
    <mergeCell ref="C212:G212"/>
    <mergeCell ref="A214:B214"/>
    <mergeCell ref="H214:K214"/>
    <mergeCell ref="J203:K203"/>
    <mergeCell ref="H203:I203"/>
    <mergeCell ref="A203:G203"/>
    <mergeCell ref="C206:I206"/>
    <mergeCell ref="J206:K206"/>
    <mergeCell ref="C207:I207"/>
    <mergeCell ref="J207:K207"/>
  </mergeCells>
  <pageMargins left="0.4" right="0.2" top="0.2" bottom="0.4" header="0.2" footer="0.2"/>
  <pageSetup paperSize="9" scale="74" fitToHeight="0" orientation="portrait" horizontalDpi="0" verticalDpi="0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22"/>
  <sheetViews>
    <sheetView zoomScaleNormal="100" workbookViewId="0"/>
  </sheetViews>
  <sheetFormatPr defaultRowHeight="12.75" x14ac:dyDescent="0.2"/>
  <cols>
    <col min="1" max="2" width="5.7109375" customWidth="1"/>
    <col min="3" max="3" width="11.7109375" customWidth="1"/>
    <col min="4" max="4" width="40.7109375" customWidth="1"/>
    <col min="5" max="5" width="11.7109375" customWidth="1"/>
    <col min="6" max="6" width="8.140625" bestFit="1" customWidth="1"/>
    <col min="7" max="7" width="10.140625" bestFit="1" customWidth="1"/>
    <col min="8" max="8" width="8.7109375" bestFit="1" customWidth="1"/>
    <col min="9" max="9" width="10" bestFit="1" customWidth="1"/>
    <col min="10" max="10" width="9.28515625" bestFit="1" customWidth="1"/>
    <col min="11" max="11" width="9.140625" bestFit="1" customWidth="1"/>
    <col min="12" max="12" width="10.140625" bestFit="1" customWidth="1"/>
    <col min="14" max="35" width="0" hidden="1" customWidth="1"/>
    <col min="36" max="36" width="91" hidden="1" customWidth="1"/>
    <col min="37" max="37" width="134.7109375" hidden="1" customWidth="1"/>
    <col min="38" max="38" width="101" hidden="1" customWidth="1"/>
    <col min="39" max="42" width="0" hidden="1" customWidth="1"/>
  </cols>
  <sheetData>
    <row r="1" spans="1:36" x14ac:dyDescent="0.2">
      <c r="A1" s="9" t="str">
        <f>Source!B1</f>
        <v>Smeta.RU  (495) 974-1589</v>
      </c>
    </row>
    <row r="2" spans="1:36" ht="15" x14ac:dyDescent="0.25">
      <c r="A2" s="11"/>
      <c r="B2" s="11"/>
      <c r="C2" s="34"/>
      <c r="D2" s="34"/>
      <c r="E2" s="34"/>
      <c r="F2" s="11"/>
      <c r="G2" s="11"/>
      <c r="H2" s="11"/>
      <c r="I2" s="90" t="s">
        <v>283</v>
      </c>
      <c r="J2" s="90"/>
      <c r="K2" s="90"/>
      <c r="L2" s="90"/>
    </row>
    <row r="3" spans="1:36" ht="14.25" x14ac:dyDescent="0.2">
      <c r="A3" s="11"/>
      <c r="B3" s="11"/>
      <c r="C3" s="11"/>
      <c r="D3" s="11"/>
      <c r="E3" s="11"/>
      <c r="F3" s="11"/>
      <c r="G3" s="11"/>
      <c r="H3" s="11"/>
      <c r="I3" s="90" t="s">
        <v>284</v>
      </c>
      <c r="J3" s="90"/>
      <c r="K3" s="90"/>
      <c r="L3" s="90"/>
    </row>
    <row r="4" spans="1:36" ht="14.25" x14ac:dyDescent="0.2">
      <c r="A4" s="11"/>
      <c r="B4" s="11"/>
      <c r="C4" s="11"/>
      <c r="D4" s="11"/>
      <c r="E4" s="11"/>
      <c r="F4" s="11"/>
      <c r="G4" s="11"/>
      <c r="H4" s="11"/>
      <c r="I4" s="90" t="s">
        <v>285</v>
      </c>
      <c r="J4" s="90"/>
      <c r="K4" s="90"/>
      <c r="L4" s="90"/>
    </row>
    <row r="5" spans="1:36" ht="14.25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36" ht="14.25" x14ac:dyDescent="0.2">
      <c r="A6" s="11"/>
      <c r="B6" s="11"/>
      <c r="C6" s="11"/>
      <c r="D6" s="11"/>
      <c r="E6" s="11"/>
      <c r="F6" s="11"/>
      <c r="G6" s="11"/>
      <c r="H6" s="11"/>
      <c r="I6" s="11"/>
      <c r="J6" s="79" t="s">
        <v>286</v>
      </c>
      <c r="K6" s="79"/>
      <c r="L6" s="79"/>
    </row>
    <row r="7" spans="1:36" ht="14.25" x14ac:dyDescent="0.2">
      <c r="A7" s="11"/>
      <c r="B7" s="11"/>
      <c r="C7" s="11"/>
      <c r="D7" s="11"/>
      <c r="E7" s="11"/>
      <c r="F7" s="11"/>
      <c r="G7" s="11"/>
      <c r="H7" s="68" t="s">
        <v>287</v>
      </c>
      <c r="I7" s="78"/>
      <c r="J7" s="91" t="s">
        <v>288</v>
      </c>
      <c r="K7" s="91"/>
      <c r="L7" s="91"/>
    </row>
    <row r="8" spans="1:36" ht="14.25" x14ac:dyDescent="0.2">
      <c r="A8" s="11"/>
      <c r="B8" s="11"/>
      <c r="C8" s="11"/>
      <c r="D8" s="11"/>
      <c r="E8" s="11"/>
      <c r="F8" s="11"/>
      <c r="G8" s="11"/>
      <c r="H8" s="11"/>
      <c r="I8" s="11"/>
      <c r="J8" s="79" t="str">
        <f>IF(Source!AT15 &lt;&gt; "", Source!AT15, "")</f>
        <v/>
      </c>
      <c r="K8" s="79"/>
      <c r="L8" s="79"/>
    </row>
    <row r="9" spans="1:36" ht="14.25" x14ac:dyDescent="0.2">
      <c r="A9" s="11" t="s">
        <v>289</v>
      </c>
      <c r="B9" s="11"/>
      <c r="C9" s="61" t="str">
        <f>IF(Source!BA15 &lt;&gt; "", Source!BA15, IF(Source!AU15 &lt;&gt; "", Source!AU15, ""))</f>
        <v/>
      </c>
      <c r="D9" s="61"/>
      <c r="E9" s="61"/>
      <c r="F9" s="61"/>
      <c r="G9" s="61"/>
      <c r="H9" s="61"/>
      <c r="I9" s="10" t="s">
        <v>290</v>
      </c>
      <c r="J9" s="79"/>
      <c r="K9" s="79"/>
      <c r="L9" s="79"/>
    </row>
    <row r="10" spans="1:36" ht="14.25" x14ac:dyDescent="0.2">
      <c r="A10" s="11"/>
      <c r="B10" s="11"/>
      <c r="C10" s="49" t="s">
        <v>291</v>
      </c>
      <c r="D10" s="49"/>
      <c r="E10" s="49"/>
      <c r="F10" s="49"/>
      <c r="G10" s="49"/>
      <c r="H10" s="49"/>
      <c r="I10" s="11"/>
      <c r="J10" s="79" t="str">
        <f>IF(Source!AK15 &lt;&gt; "", Source!AK15, "")</f>
        <v/>
      </c>
      <c r="K10" s="79"/>
      <c r="L10" s="79"/>
    </row>
    <row r="11" spans="1:36" ht="14.25" x14ac:dyDescent="0.2">
      <c r="A11" s="11" t="s">
        <v>292</v>
      </c>
      <c r="B11" s="11"/>
      <c r="C11" s="61" t="str">
        <f>IF(Source!AX12&lt;&gt; "", Source!AX12, IF(Source!AJ12 &lt;&gt; "", Source!AJ12, ""))</f>
        <v>МУП "Троицкая электросеть", г. Москва, г. Троицк, ул. Лесная, д. 6.</v>
      </c>
      <c r="D11" s="61"/>
      <c r="E11" s="61"/>
      <c r="F11" s="61"/>
      <c r="G11" s="61"/>
      <c r="H11" s="61"/>
      <c r="I11" s="10" t="s">
        <v>290</v>
      </c>
      <c r="J11" s="79"/>
      <c r="K11" s="79"/>
      <c r="L11" s="79"/>
      <c r="AJ11" s="22" t="str">
        <f>IF(Source!AX12&lt;&gt; "", Source!AX12, IF(Source!AJ12 &lt;&gt; "", Source!AJ12, ""))</f>
        <v>МУП "Троицкая электросеть", г. Москва, г. Троицк, ул. Лесная, д. 6.</v>
      </c>
    </row>
    <row r="12" spans="1:36" ht="14.25" x14ac:dyDescent="0.2">
      <c r="A12" s="11"/>
      <c r="B12" s="11"/>
      <c r="C12" s="49" t="s">
        <v>291</v>
      </c>
      <c r="D12" s="49"/>
      <c r="E12" s="49"/>
      <c r="F12" s="49"/>
      <c r="G12" s="49"/>
      <c r="H12" s="49"/>
      <c r="I12" s="11"/>
      <c r="J12" s="79" t="str">
        <f>IF(Source!AO15 &lt;&gt; "", Source!AO15, "")</f>
        <v/>
      </c>
      <c r="K12" s="79"/>
      <c r="L12" s="79"/>
    </row>
    <row r="13" spans="1:36" ht="14.25" x14ac:dyDescent="0.2">
      <c r="A13" s="11" t="s">
        <v>293</v>
      </c>
      <c r="B13" s="11"/>
      <c r="C13" s="61" t="str">
        <f>IF(Source!AY12&lt;&gt; "", Source!AY12, IF(Source!AN12 &lt;&gt; "", Source!AN12, ""))</f>
        <v/>
      </c>
      <c r="D13" s="61"/>
      <c r="E13" s="61"/>
      <c r="F13" s="61"/>
      <c r="G13" s="61"/>
      <c r="H13" s="61"/>
      <c r="I13" s="10" t="s">
        <v>290</v>
      </c>
      <c r="J13" s="79"/>
      <c r="K13" s="79"/>
      <c r="L13" s="79"/>
    </row>
    <row r="14" spans="1:36" ht="14.25" x14ac:dyDescent="0.2">
      <c r="A14" s="11"/>
      <c r="B14" s="11"/>
      <c r="C14" s="49" t="s">
        <v>291</v>
      </c>
      <c r="D14" s="49"/>
      <c r="E14" s="49"/>
      <c r="F14" s="49"/>
      <c r="G14" s="49"/>
      <c r="H14" s="49"/>
      <c r="I14" s="11"/>
      <c r="J14" s="79" t="str">
        <f>IF(Source!CO15 &lt;&gt; "", Source!CO15, "")</f>
        <v/>
      </c>
      <c r="K14" s="79"/>
      <c r="L14" s="79"/>
    </row>
    <row r="15" spans="1:36" ht="14.25" x14ac:dyDescent="0.2">
      <c r="A15" s="11" t="s">
        <v>294</v>
      </c>
      <c r="B15" s="11"/>
      <c r="C15" s="61" t="s">
        <v>4</v>
      </c>
      <c r="D15" s="61"/>
      <c r="E15" s="61"/>
      <c r="F15" s="61"/>
      <c r="G15" s="61"/>
      <c r="H15" s="61"/>
      <c r="I15" s="11"/>
      <c r="J15" s="79"/>
      <c r="K15" s="79"/>
      <c r="L15" s="79"/>
      <c r="AJ15" s="22" t="s">
        <v>4</v>
      </c>
    </row>
    <row r="16" spans="1:36" ht="14.25" x14ac:dyDescent="0.2">
      <c r="A16" s="11"/>
      <c r="B16" s="11"/>
      <c r="C16" s="49" t="s">
        <v>295</v>
      </c>
      <c r="D16" s="49"/>
      <c r="E16" s="49"/>
      <c r="F16" s="49"/>
      <c r="G16" s="49"/>
      <c r="H16" s="49"/>
      <c r="I16" s="11"/>
      <c r="J16" s="79" t="str">
        <f>IF(Source!CP15 &lt;&gt; "", Source!CP15, "")</f>
        <v/>
      </c>
      <c r="K16" s="79"/>
      <c r="L16" s="79"/>
    </row>
    <row r="17" spans="1:36" ht="14.25" x14ac:dyDescent="0.2">
      <c r="A17" s="11" t="s">
        <v>296</v>
      </c>
      <c r="B17" s="11"/>
      <c r="C17" s="67" t="str">
        <f>IF(Source!G12&lt;&gt;"Новый объект", Source!G12, "")</f>
        <v>КЛ-0,4 от ул.Центральная, д.6 до ул.Центральная, д.8.</v>
      </c>
      <c r="D17" s="67"/>
      <c r="E17" s="67"/>
      <c r="F17" s="67"/>
      <c r="G17" s="67"/>
      <c r="H17" s="67"/>
      <c r="I17" s="11"/>
      <c r="J17" s="79"/>
      <c r="K17" s="79"/>
      <c r="L17" s="79"/>
      <c r="AJ17" s="43" t="str">
        <f>IF(Source!G12&lt;&gt;"Новый объект", Source!G12, "")</f>
        <v>КЛ-0,4 от ул.Центральная, д.6 до ул.Центральная, д.8.</v>
      </c>
    </row>
    <row r="18" spans="1:36" ht="14.25" x14ac:dyDescent="0.2">
      <c r="A18" s="11"/>
      <c r="B18" s="11"/>
      <c r="C18" s="49" t="s">
        <v>297</v>
      </c>
      <c r="D18" s="49"/>
      <c r="E18" s="49"/>
      <c r="F18" s="49"/>
      <c r="G18" s="49"/>
      <c r="H18" s="49"/>
      <c r="I18" s="11"/>
      <c r="J18" s="11"/>
      <c r="K18" s="11"/>
      <c r="L18" s="11"/>
    </row>
    <row r="19" spans="1:36" ht="14.25" x14ac:dyDescent="0.2">
      <c r="A19" s="11"/>
      <c r="B19" s="11"/>
      <c r="C19" s="11"/>
      <c r="D19" s="11"/>
      <c r="E19" s="11"/>
      <c r="F19" s="11"/>
      <c r="G19" s="68" t="s">
        <v>298</v>
      </c>
      <c r="H19" s="68"/>
      <c r="I19" s="88"/>
      <c r="J19" s="79" t="str">
        <f>IF(Source!CQ15 &lt;&gt; "", Source!CQ15, "")</f>
        <v/>
      </c>
      <c r="K19" s="79"/>
      <c r="L19" s="79"/>
    </row>
    <row r="20" spans="1:36" ht="14.25" x14ac:dyDescent="0.2">
      <c r="A20" s="11"/>
      <c r="B20" s="11"/>
      <c r="C20" s="11"/>
      <c r="D20" s="11"/>
      <c r="E20" s="11"/>
      <c r="F20" s="11"/>
      <c r="G20" s="68" t="s">
        <v>299</v>
      </c>
      <c r="H20" s="78"/>
      <c r="I20" s="37" t="s">
        <v>300</v>
      </c>
      <c r="J20" s="79" t="str">
        <f>IF(Source!CR15 &lt;&gt; "", Source!CR15, "")</f>
        <v/>
      </c>
      <c r="K20" s="79"/>
      <c r="L20" s="79"/>
    </row>
    <row r="21" spans="1:36" ht="14.25" x14ac:dyDescent="0.2">
      <c r="A21" s="11"/>
      <c r="B21" s="11"/>
      <c r="C21" s="11"/>
      <c r="D21" s="11"/>
      <c r="E21" s="11"/>
      <c r="F21" s="11"/>
      <c r="G21" s="11"/>
      <c r="H21" s="11"/>
      <c r="I21" s="38" t="s">
        <v>301</v>
      </c>
      <c r="J21" s="89" t="str">
        <f>IF(Source!CS15 &lt;&gt; 0, Source!CS15, "")</f>
        <v/>
      </c>
      <c r="K21" s="89"/>
      <c r="L21" s="89"/>
    </row>
    <row r="22" spans="1:36" ht="14.25" x14ac:dyDescent="0.2">
      <c r="A22" s="11"/>
      <c r="B22" s="11"/>
      <c r="C22" s="11"/>
      <c r="D22" s="11"/>
      <c r="E22" s="11"/>
      <c r="F22" s="11"/>
      <c r="G22" s="11"/>
      <c r="H22" s="68" t="s">
        <v>302</v>
      </c>
      <c r="I22" s="78"/>
      <c r="J22" s="79" t="str">
        <f>IF(Source!CT15 &lt;&gt; "", Source!CT15, "")</f>
        <v/>
      </c>
      <c r="K22" s="79"/>
      <c r="L22" s="79"/>
    </row>
    <row r="23" spans="1:36" ht="14.25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36" ht="14.25" x14ac:dyDescent="0.2">
      <c r="A24" s="11"/>
      <c r="B24" s="11"/>
      <c r="C24" s="11"/>
      <c r="D24" s="11"/>
      <c r="E24" s="11"/>
      <c r="F24" s="11"/>
      <c r="G24" s="80" t="s">
        <v>303</v>
      </c>
      <c r="H24" s="83" t="s">
        <v>304</v>
      </c>
      <c r="I24" s="83" t="s">
        <v>305</v>
      </c>
      <c r="J24" s="85"/>
      <c r="K24" s="11"/>
      <c r="L24" s="11"/>
    </row>
    <row r="25" spans="1:36" ht="14.25" x14ac:dyDescent="0.2">
      <c r="A25" s="11"/>
      <c r="B25" s="11"/>
      <c r="C25" s="11"/>
      <c r="D25" s="11"/>
      <c r="E25" s="11"/>
      <c r="F25" s="11"/>
      <c r="G25" s="81"/>
      <c r="H25" s="84"/>
      <c r="I25" s="86"/>
      <c r="J25" s="87"/>
      <c r="K25" s="11"/>
      <c r="L25" s="11"/>
    </row>
    <row r="26" spans="1:36" ht="14.25" x14ac:dyDescent="0.2">
      <c r="A26" s="11"/>
      <c r="B26" s="11"/>
      <c r="C26" s="11"/>
      <c r="D26" s="11"/>
      <c r="E26" s="11"/>
      <c r="F26" s="11"/>
      <c r="G26" s="82"/>
      <c r="H26" s="84"/>
      <c r="I26" s="39" t="s">
        <v>306</v>
      </c>
      <c r="J26" s="40" t="s">
        <v>307</v>
      </c>
      <c r="K26" s="11"/>
      <c r="L26" s="11"/>
    </row>
    <row r="27" spans="1:36" ht="14.25" x14ac:dyDescent="0.2">
      <c r="A27" s="11"/>
      <c r="B27" s="11"/>
      <c r="C27" s="11"/>
      <c r="D27" s="11"/>
      <c r="E27" s="11"/>
      <c r="F27" s="11"/>
      <c r="G27" s="41"/>
      <c r="H27" s="42" t="str">
        <f>IF(Source!CX15 &lt;&gt; 0, Source!CX15, "")</f>
        <v/>
      </c>
      <c r="I27" s="42" t="str">
        <f>IF(Source!CV15 &lt;&gt; 0, Source!CV15, "")</f>
        <v/>
      </c>
      <c r="J27" s="42" t="str">
        <f>IF(Source!CW15 &lt;&gt; 0, Source!CW15, "")</f>
        <v/>
      </c>
      <c r="K27" s="11"/>
      <c r="L27" s="11"/>
    </row>
    <row r="28" spans="1:36" ht="14.25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36" ht="18" x14ac:dyDescent="0.25">
      <c r="A29" s="76" t="s">
        <v>308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</row>
    <row r="30" spans="1:36" ht="18" x14ac:dyDescent="0.25">
      <c r="A30" s="76" t="s">
        <v>309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</row>
    <row r="31" spans="1:36" ht="14.25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36" ht="15" x14ac:dyDescent="0.25">
      <c r="A32" s="11" t="s">
        <v>310</v>
      </c>
      <c r="B32" s="11"/>
      <c r="C32" s="11"/>
      <c r="D32" s="11"/>
      <c r="E32" s="11"/>
      <c r="F32" s="11"/>
      <c r="G32" s="11"/>
      <c r="H32" s="77">
        <f>(Source!F248/1000)</f>
        <v>135.53701999999998</v>
      </c>
      <c r="I32" s="77"/>
      <c r="J32" s="11" t="s">
        <v>311</v>
      </c>
      <c r="K32" s="11"/>
      <c r="L32" s="11"/>
    </row>
    <row r="33" spans="1:37" ht="14.25" x14ac:dyDescent="0.2">
      <c r="A33" s="61" t="s">
        <v>266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AK33" s="22" t="s">
        <v>266</v>
      </c>
    </row>
    <row r="34" spans="1:37" ht="14.25" x14ac:dyDescent="0.2">
      <c r="A34" s="75" t="s">
        <v>312</v>
      </c>
      <c r="B34" s="75"/>
      <c r="C34" s="75" t="s">
        <v>256</v>
      </c>
      <c r="D34" s="75" t="s">
        <v>257</v>
      </c>
      <c r="E34" s="75" t="s">
        <v>258</v>
      </c>
      <c r="F34" s="75" t="s">
        <v>259</v>
      </c>
      <c r="G34" s="75" t="s">
        <v>260</v>
      </c>
      <c r="H34" s="72" t="s">
        <v>261</v>
      </c>
      <c r="I34" s="72" t="s">
        <v>262</v>
      </c>
      <c r="J34" s="75" t="s">
        <v>263</v>
      </c>
      <c r="K34" s="75" t="s">
        <v>264</v>
      </c>
      <c r="L34" s="75" t="s">
        <v>265</v>
      </c>
    </row>
    <row r="35" spans="1:37" x14ac:dyDescent="0.2">
      <c r="A35" s="72" t="s">
        <v>313</v>
      </c>
      <c r="B35" s="72" t="s">
        <v>314</v>
      </c>
      <c r="C35" s="75"/>
      <c r="D35" s="75"/>
      <c r="E35" s="75"/>
      <c r="F35" s="75"/>
      <c r="G35" s="75"/>
      <c r="H35" s="73"/>
      <c r="I35" s="73"/>
      <c r="J35" s="75"/>
      <c r="K35" s="75"/>
      <c r="L35" s="75"/>
    </row>
    <row r="36" spans="1:37" x14ac:dyDescent="0.2">
      <c r="A36" s="73"/>
      <c r="B36" s="73"/>
      <c r="C36" s="75"/>
      <c r="D36" s="75"/>
      <c r="E36" s="75"/>
      <c r="F36" s="75"/>
      <c r="G36" s="75"/>
      <c r="H36" s="73"/>
      <c r="I36" s="73"/>
      <c r="J36" s="75"/>
      <c r="K36" s="75"/>
      <c r="L36" s="75"/>
    </row>
    <row r="37" spans="1:37" x14ac:dyDescent="0.2">
      <c r="A37" s="73"/>
      <c r="B37" s="73"/>
      <c r="C37" s="75"/>
      <c r="D37" s="75"/>
      <c r="E37" s="75"/>
      <c r="F37" s="75"/>
      <c r="G37" s="75"/>
      <c r="H37" s="73"/>
      <c r="I37" s="73"/>
      <c r="J37" s="75"/>
      <c r="K37" s="75"/>
      <c r="L37" s="75"/>
    </row>
    <row r="38" spans="1:37" x14ac:dyDescent="0.2">
      <c r="A38" s="73"/>
      <c r="B38" s="73"/>
      <c r="C38" s="75"/>
      <c r="D38" s="75"/>
      <c r="E38" s="75"/>
      <c r="F38" s="75"/>
      <c r="G38" s="75"/>
      <c r="H38" s="73"/>
      <c r="I38" s="73"/>
      <c r="J38" s="75"/>
      <c r="K38" s="75"/>
      <c r="L38" s="75"/>
    </row>
    <row r="39" spans="1:37" x14ac:dyDescent="0.2">
      <c r="A39" s="74"/>
      <c r="B39" s="74"/>
      <c r="C39" s="75"/>
      <c r="D39" s="75"/>
      <c r="E39" s="75"/>
      <c r="F39" s="75"/>
      <c r="G39" s="75"/>
      <c r="H39" s="74"/>
      <c r="I39" s="74"/>
      <c r="J39" s="75"/>
      <c r="K39" s="75"/>
      <c r="L39" s="75"/>
    </row>
    <row r="40" spans="1:37" ht="14.25" x14ac:dyDescent="0.2">
      <c r="A40" s="19">
        <v>1</v>
      </c>
      <c r="B40" s="19">
        <v>2</v>
      </c>
      <c r="C40" s="19">
        <v>3</v>
      </c>
      <c r="D40" s="19">
        <v>4</v>
      </c>
      <c r="E40" s="19">
        <v>5</v>
      </c>
      <c r="F40" s="19">
        <v>6</v>
      </c>
      <c r="G40" s="19">
        <v>7</v>
      </c>
      <c r="H40" s="19">
        <v>8</v>
      </c>
      <c r="I40" s="19">
        <v>9</v>
      </c>
      <c r="J40" s="19">
        <v>10</v>
      </c>
      <c r="K40" s="19">
        <v>11</v>
      </c>
      <c r="L40" s="19">
        <v>12</v>
      </c>
    </row>
    <row r="42" spans="1:37" ht="16.5" x14ac:dyDescent="0.25">
      <c r="A42" s="57" t="str">
        <f>CONCATENATE("Раздел: ",IF(Source!G24&lt;&gt;"Новый раздел", Source!G24, ""))</f>
        <v>Раздел: Земляные работы.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</row>
    <row r="43" spans="1:37" ht="57" x14ac:dyDescent="0.2">
      <c r="A43" s="23">
        <v>1</v>
      </c>
      <c r="B43" s="23" t="str">
        <f>Source!E28</f>
        <v>1</v>
      </c>
      <c r="C43" s="24" t="str">
        <f>Source!F28</f>
        <v>3.1-51-1</v>
      </c>
      <c r="D43" s="24" t="s">
        <v>25</v>
      </c>
      <c r="E43" s="25" t="str">
        <f>Source!H28</f>
        <v>100 м3</v>
      </c>
      <c r="F43" s="10">
        <f>Source!I28</f>
        <v>0.23400000000000001</v>
      </c>
      <c r="G43" s="27"/>
      <c r="H43" s="26"/>
      <c r="I43" s="10"/>
      <c r="J43" s="28"/>
      <c r="K43" s="10"/>
      <c r="L43" s="28"/>
      <c r="Q43">
        <f>ROUND((Source!DN28/100)*ROUND((ROUND((Source!AF28*Source!AV28*Source!I28),2)),2), 2)</f>
        <v>542.82000000000005</v>
      </c>
      <c r="R43">
        <f>Source!X28</f>
        <v>10807.93</v>
      </c>
      <c r="S43">
        <f>ROUND((Source!DO28/100)*ROUND((ROUND((Source!AF28*Source!AV28*Source!I28),2)),2), 2)</f>
        <v>399.66</v>
      </c>
      <c r="T43">
        <f>Source!Y28</f>
        <v>6070.21</v>
      </c>
      <c r="U43">
        <f>ROUND((175/100)*ROUND((ROUND((Source!AE28*Source!AV28*Source!I28),2)),2), 2)</f>
        <v>0</v>
      </c>
      <c r="V43">
        <f>ROUND((157/100)*ROUND(ROUND((ROUND((Source!AE28*Source!AV28*Source!I28),2)*Source!BS28),2), 2), 2)</f>
        <v>0</v>
      </c>
    </row>
    <row r="44" spans="1:37" x14ac:dyDescent="0.2">
      <c r="D44" s="29" t="str">
        <f>"Объем: "&amp;Source!I28&amp;"=0,4*"&amp;"0,9*"&amp;"65/"&amp;"100"</f>
        <v>Объем: 0,234=0,4*0,9*65/100</v>
      </c>
    </row>
    <row r="45" spans="1:37" ht="14.25" x14ac:dyDescent="0.2">
      <c r="A45" s="23"/>
      <c r="B45" s="23"/>
      <c r="C45" s="24"/>
      <c r="D45" s="24" t="s">
        <v>267</v>
      </c>
      <c r="E45" s="25"/>
      <c r="F45" s="10"/>
      <c r="G45" s="27">
        <f>Source!AO28</f>
        <v>2042.62</v>
      </c>
      <c r="H45" s="26" t="str">
        <f>Source!DG28</f>
        <v/>
      </c>
      <c r="I45" s="10">
        <f>Source!AV28</f>
        <v>1.248</v>
      </c>
      <c r="J45" s="28">
        <f>ROUND((ROUND((Source!AF28*Source!AV28*Source!I28),2)),2)</f>
        <v>596.51</v>
      </c>
      <c r="K45" s="10">
        <f>IF(Source!BA28&lt;&gt; 0, Source!BA28, 1)</f>
        <v>24.82</v>
      </c>
      <c r="L45" s="28">
        <f>Source!S28</f>
        <v>14805.38</v>
      </c>
      <c r="W45">
        <f>J45</f>
        <v>596.51</v>
      </c>
    </row>
    <row r="46" spans="1:37" ht="14.25" x14ac:dyDescent="0.2">
      <c r="A46" s="23"/>
      <c r="B46" s="23"/>
      <c r="C46" s="24"/>
      <c r="D46" s="24" t="s">
        <v>268</v>
      </c>
      <c r="E46" s="25" t="s">
        <v>269</v>
      </c>
      <c r="F46" s="10">
        <f>Source!DN28</f>
        <v>91</v>
      </c>
      <c r="G46" s="27"/>
      <c r="H46" s="26"/>
      <c r="I46" s="10"/>
      <c r="J46" s="28">
        <f>SUM(Q43:Q45)</f>
        <v>542.82000000000005</v>
      </c>
      <c r="K46" s="10">
        <f>Source!BZ28</f>
        <v>73</v>
      </c>
      <c r="L46" s="28">
        <f>SUM(R43:R45)</f>
        <v>10807.93</v>
      </c>
    </row>
    <row r="47" spans="1:37" ht="14.25" x14ac:dyDescent="0.2">
      <c r="A47" s="23"/>
      <c r="B47" s="23"/>
      <c r="C47" s="24"/>
      <c r="D47" s="24" t="s">
        <v>270</v>
      </c>
      <c r="E47" s="25" t="s">
        <v>269</v>
      </c>
      <c r="F47" s="10">
        <f>Source!DO28</f>
        <v>67</v>
      </c>
      <c r="G47" s="27"/>
      <c r="H47" s="26"/>
      <c r="I47" s="10"/>
      <c r="J47" s="28">
        <f>SUM(S43:S46)</f>
        <v>399.66</v>
      </c>
      <c r="K47" s="10">
        <f>Source!CA28</f>
        <v>41</v>
      </c>
      <c r="L47" s="28">
        <f>SUM(T43:T46)</f>
        <v>6070.21</v>
      </c>
    </row>
    <row r="48" spans="1:37" ht="14.25" x14ac:dyDescent="0.2">
      <c r="A48" s="23"/>
      <c r="B48" s="23"/>
      <c r="C48" s="24"/>
      <c r="D48" s="24" t="s">
        <v>271</v>
      </c>
      <c r="E48" s="25" t="s">
        <v>272</v>
      </c>
      <c r="F48" s="10">
        <f>Source!AQ28</f>
        <v>192.7</v>
      </c>
      <c r="G48" s="27"/>
      <c r="H48" s="26" t="str">
        <f>Source!DI28</f>
        <v/>
      </c>
      <c r="I48" s="10">
        <f>Source!AV28</f>
        <v>1.248</v>
      </c>
      <c r="J48" s="28">
        <f>Source!U28</f>
        <v>56.274566400000005</v>
      </c>
      <c r="K48" s="10"/>
      <c r="L48" s="28"/>
    </row>
    <row r="49" spans="1:27" ht="15" x14ac:dyDescent="0.25">
      <c r="A49" s="31"/>
      <c r="B49" s="31"/>
      <c r="C49" s="31"/>
      <c r="D49" s="31"/>
      <c r="E49" s="31"/>
      <c r="F49" s="31"/>
      <c r="G49" s="31"/>
      <c r="H49" s="31"/>
      <c r="I49" s="58">
        <f>J45+J46+J47</f>
        <v>1538.99</v>
      </c>
      <c r="J49" s="58"/>
      <c r="K49" s="58">
        <f>L45+L46+L47</f>
        <v>31683.519999999997</v>
      </c>
      <c r="L49" s="58"/>
      <c r="O49" s="30">
        <f>J45+J46+J47</f>
        <v>1538.99</v>
      </c>
      <c r="P49" s="30">
        <f>L45+L46+L47</f>
        <v>31683.519999999997</v>
      </c>
      <c r="X49">
        <f>IF(Source!BI28&lt;=1,J45+J46+J47-0, 0)</f>
        <v>1538.99</v>
      </c>
      <c r="Y49">
        <f>IF(Source!BI28=2,J45+J46+J47-0, 0)</f>
        <v>0</v>
      </c>
      <c r="Z49">
        <f>IF(Source!BI28=3,J45+J46+J47-0, 0)</f>
        <v>0</v>
      </c>
      <c r="AA49">
        <f>IF(Source!BI28=4,J45+J46+J47,0)</f>
        <v>0</v>
      </c>
    </row>
    <row r="50" spans="1:27" ht="42.75" x14ac:dyDescent="0.2">
      <c r="A50" s="23">
        <v>2</v>
      </c>
      <c r="B50" s="23" t="str">
        <f>Source!E29</f>
        <v>2</v>
      </c>
      <c r="C50" s="24" t="str">
        <f>Source!F29</f>
        <v>3.1-53-1</v>
      </c>
      <c r="D50" s="24" t="s">
        <v>33</v>
      </c>
      <c r="E50" s="25" t="str">
        <f>Source!H29</f>
        <v>100 м3</v>
      </c>
      <c r="F50" s="10">
        <f>Source!I29</f>
        <v>0.23400000000000001</v>
      </c>
      <c r="G50" s="27"/>
      <c r="H50" s="26"/>
      <c r="I50" s="10"/>
      <c r="J50" s="28"/>
      <c r="K50" s="10"/>
      <c r="L50" s="28"/>
      <c r="Q50">
        <f>ROUND((Source!DN29/100)*ROUND((ROUND((Source!AF29*Source!AV29*Source!I29),2)),2), 2)</f>
        <v>279.33</v>
      </c>
      <c r="R50">
        <f>Source!X29</f>
        <v>5561.69</v>
      </c>
      <c r="S50">
        <f>ROUND((Source!DO29/100)*ROUND((ROUND((Source!AF29*Source!AV29*Source!I29),2)),2), 2)</f>
        <v>205.66</v>
      </c>
      <c r="T50">
        <f>Source!Y29</f>
        <v>3123.69</v>
      </c>
      <c r="U50">
        <f>ROUND((175/100)*ROUND((ROUND((Source!AE29*Source!AV29*Source!I29),2)),2), 2)</f>
        <v>0</v>
      </c>
      <c r="V50">
        <f>ROUND((157/100)*ROUND(ROUND((ROUND((Source!AE29*Source!AV29*Source!I29),2)*Source!BS29),2), 2), 2)</f>
        <v>0</v>
      </c>
    </row>
    <row r="51" spans="1:27" ht="14.25" x14ac:dyDescent="0.2">
      <c r="A51" s="23"/>
      <c r="B51" s="23"/>
      <c r="C51" s="24"/>
      <c r="D51" s="24" t="s">
        <v>267</v>
      </c>
      <c r="E51" s="25"/>
      <c r="F51" s="10"/>
      <c r="G51" s="27">
        <f>Source!AO29</f>
        <v>1051.1300000000001</v>
      </c>
      <c r="H51" s="26" t="str">
        <f>Source!DG29</f>
        <v/>
      </c>
      <c r="I51" s="10">
        <f>Source!AV29</f>
        <v>1.248</v>
      </c>
      <c r="J51" s="28">
        <f>ROUND((ROUND((Source!AF29*Source!AV29*Source!I29),2)),2)</f>
        <v>306.95999999999998</v>
      </c>
      <c r="K51" s="10">
        <f>IF(Source!BA29&lt;&gt; 0, Source!BA29, 1)</f>
        <v>24.82</v>
      </c>
      <c r="L51" s="28">
        <f>Source!S29</f>
        <v>7618.75</v>
      </c>
      <c r="W51">
        <f>J51</f>
        <v>306.95999999999998</v>
      </c>
    </row>
    <row r="52" spans="1:27" ht="14.25" x14ac:dyDescent="0.2">
      <c r="A52" s="23"/>
      <c r="B52" s="23"/>
      <c r="C52" s="24"/>
      <c r="D52" s="24" t="s">
        <v>268</v>
      </c>
      <c r="E52" s="25" t="s">
        <v>269</v>
      </c>
      <c r="F52" s="10">
        <f>Source!DN29</f>
        <v>91</v>
      </c>
      <c r="G52" s="27"/>
      <c r="H52" s="26"/>
      <c r="I52" s="10"/>
      <c r="J52" s="28">
        <f>SUM(Q50:Q51)</f>
        <v>279.33</v>
      </c>
      <c r="K52" s="10">
        <f>Source!BZ29</f>
        <v>73</v>
      </c>
      <c r="L52" s="28">
        <f>SUM(R50:R51)</f>
        <v>5561.69</v>
      </c>
    </row>
    <row r="53" spans="1:27" ht="14.25" x14ac:dyDescent="0.2">
      <c r="A53" s="23"/>
      <c r="B53" s="23"/>
      <c r="C53" s="24"/>
      <c r="D53" s="24" t="s">
        <v>270</v>
      </c>
      <c r="E53" s="25" t="s">
        <v>269</v>
      </c>
      <c r="F53" s="10">
        <f>Source!DO29</f>
        <v>67</v>
      </c>
      <c r="G53" s="27"/>
      <c r="H53" s="26"/>
      <c r="I53" s="10"/>
      <c r="J53" s="28">
        <f>SUM(S50:S52)</f>
        <v>205.66</v>
      </c>
      <c r="K53" s="10">
        <f>Source!CA29</f>
        <v>41</v>
      </c>
      <c r="L53" s="28">
        <f>SUM(T50:T52)</f>
        <v>3123.69</v>
      </c>
    </row>
    <row r="54" spans="1:27" ht="14.25" x14ac:dyDescent="0.2">
      <c r="A54" s="23"/>
      <c r="B54" s="23"/>
      <c r="C54" s="24"/>
      <c r="D54" s="24" t="s">
        <v>271</v>
      </c>
      <c r="E54" s="25" t="s">
        <v>272</v>
      </c>
      <c r="F54" s="10">
        <f>Source!AQ29</f>
        <v>107.04</v>
      </c>
      <c r="G54" s="27"/>
      <c r="H54" s="26" t="str">
        <f>Source!DI29</f>
        <v/>
      </c>
      <c r="I54" s="10">
        <f>Source!AV29</f>
        <v>1.248</v>
      </c>
      <c r="J54" s="28">
        <f>Source!U29</f>
        <v>31.259105280000007</v>
      </c>
      <c r="K54" s="10"/>
      <c r="L54" s="28"/>
    </row>
    <row r="55" spans="1:27" ht="15" x14ac:dyDescent="0.25">
      <c r="A55" s="31"/>
      <c r="B55" s="31"/>
      <c r="C55" s="31"/>
      <c r="D55" s="31"/>
      <c r="E55" s="31"/>
      <c r="F55" s="31"/>
      <c r="G55" s="31"/>
      <c r="H55" s="31"/>
      <c r="I55" s="58">
        <f>J51+J52+J53</f>
        <v>791.94999999999993</v>
      </c>
      <c r="J55" s="58"/>
      <c r="K55" s="58">
        <f>L51+L52+L53</f>
        <v>16304.13</v>
      </c>
      <c r="L55" s="58"/>
      <c r="O55" s="30">
        <f>J51+J52+J53</f>
        <v>791.94999999999993</v>
      </c>
      <c r="P55" s="30">
        <f>L51+L52+L53</f>
        <v>16304.13</v>
      </c>
      <c r="X55">
        <f>IF(Source!BI29&lt;=1,J51+J52+J53-0, 0)</f>
        <v>791.94999999999993</v>
      </c>
      <c r="Y55">
        <f>IF(Source!BI29=2,J51+J52+J53-0, 0)</f>
        <v>0</v>
      </c>
      <c r="Z55">
        <f>IF(Source!BI29=3,J51+J52+J53-0, 0)</f>
        <v>0</v>
      </c>
      <c r="AA55">
        <f>IF(Source!BI29=4,J51+J52+J53,0)</f>
        <v>0</v>
      </c>
    </row>
    <row r="56" spans="1:27" ht="14.25" x14ac:dyDescent="0.2">
      <c r="A56" s="23">
        <v>3</v>
      </c>
      <c r="B56" s="23" t="str">
        <f>Source!E30</f>
        <v>3</v>
      </c>
      <c r="C56" s="24" t="str">
        <f>Source!F30</f>
        <v>3.1-58-1</v>
      </c>
      <c r="D56" s="24" t="s">
        <v>37</v>
      </c>
      <c r="E56" s="25" t="str">
        <f>Source!H30</f>
        <v>100 м3</v>
      </c>
      <c r="F56" s="10">
        <f>Source!I30</f>
        <v>7.0199999999999999E-2</v>
      </c>
      <c r="G56" s="27"/>
      <c r="H56" s="26"/>
      <c r="I56" s="10"/>
      <c r="J56" s="28"/>
      <c r="K56" s="10"/>
      <c r="L56" s="28"/>
      <c r="Q56">
        <f>ROUND((Source!DN30/100)*ROUND((ROUND((Source!AF30*Source!AV30*Source!I30),2)),2), 2)</f>
        <v>0</v>
      </c>
      <c r="R56">
        <f>Source!X30</f>
        <v>0</v>
      </c>
      <c r="S56">
        <f>ROUND((Source!DO30/100)*ROUND((ROUND((Source!AF30*Source!AV30*Source!I30),2)),2), 2)</f>
        <v>0</v>
      </c>
      <c r="T56">
        <f>Source!Y30</f>
        <v>0</v>
      </c>
      <c r="U56">
        <f>ROUND((175/100)*ROUND((ROUND((Source!AE30*Source!AV30*Source!I30),2)),2), 2)</f>
        <v>154.13999999999999</v>
      </c>
      <c r="V56">
        <f>ROUND((157/100)*ROUND(ROUND((ROUND((Source!AE30*Source!AV30*Source!I30),2)*Source!BS30),2), 2), 2)</f>
        <v>3432.26</v>
      </c>
    </row>
    <row r="57" spans="1:27" x14ac:dyDescent="0.2">
      <c r="D57" s="29" t="str">
        <f>"Объем: "&amp;Source!I30&amp;"="&amp;Source!I28&amp;"*"&amp;"0,3"</f>
        <v>Объем: 0,0702=0,234*0,3</v>
      </c>
    </row>
    <row r="58" spans="1:27" ht="14.25" x14ac:dyDescent="0.2">
      <c r="A58" s="23"/>
      <c r="B58" s="23"/>
      <c r="C58" s="24"/>
      <c r="D58" s="24" t="s">
        <v>273</v>
      </c>
      <c r="E58" s="25"/>
      <c r="F58" s="10"/>
      <c r="G58" s="27">
        <f>Source!AM30</f>
        <v>2033.46</v>
      </c>
      <c r="H58" s="26" t="str">
        <f>Source!DE30</f>
        <v/>
      </c>
      <c r="I58" s="10">
        <f>Source!AV30</f>
        <v>1.0469999999999999</v>
      </c>
      <c r="J58" s="28">
        <f>(ROUND((ROUND(((Source!ET30)*Source!AV30*Source!I30),2)),2)+ROUND((ROUND(((Source!AE30-(Source!EU30))*Source!AV30*Source!I30),2)),2))</f>
        <v>149.46</v>
      </c>
      <c r="K58" s="10">
        <f>IF(Source!BB30&lt;&gt; 0, Source!BB30, 1)</f>
        <v>18.52</v>
      </c>
      <c r="L58" s="28">
        <f>Source!Q30</f>
        <v>2768</v>
      </c>
    </row>
    <row r="59" spans="1:27" ht="14.25" x14ac:dyDescent="0.2">
      <c r="A59" s="23"/>
      <c r="B59" s="23"/>
      <c r="C59" s="24"/>
      <c r="D59" s="24" t="s">
        <v>274</v>
      </c>
      <c r="E59" s="25"/>
      <c r="F59" s="10"/>
      <c r="G59" s="27">
        <f>Source!AN30</f>
        <v>1198.3399999999999</v>
      </c>
      <c r="H59" s="26" t="str">
        <f>Source!DF30</f>
        <v/>
      </c>
      <c r="I59" s="10">
        <f>Source!AV30</f>
        <v>1.0469999999999999</v>
      </c>
      <c r="J59" s="32">
        <f>ROUND((ROUND((Source!AE30*Source!AV30*Source!I30),2)),2)</f>
        <v>88.08</v>
      </c>
      <c r="K59" s="10">
        <f>IF(Source!BS30&lt;&gt; 0, Source!BS30, 1)</f>
        <v>24.82</v>
      </c>
      <c r="L59" s="32">
        <f>Source!R30</f>
        <v>2186.15</v>
      </c>
      <c r="W59">
        <f>J59</f>
        <v>88.08</v>
      </c>
    </row>
    <row r="60" spans="1:27" ht="14.25" x14ac:dyDescent="0.2">
      <c r="A60" s="23"/>
      <c r="B60" s="23"/>
      <c r="C60" s="24"/>
      <c r="D60" s="24" t="s">
        <v>275</v>
      </c>
      <c r="E60" s="25" t="s">
        <v>269</v>
      </c>
      <c r="F60" s="10">
        <f>175</f>
        <v>175</v>
      </c>
      <c r="G60" s="27"/>
      <c r="H60" s="26"/>
      <c r="I60" s="10"/>
      <c r="J60" s="28">
        <f>SUM(U56:U59)</f>
        <v>154.13999999999999</v>
      </c>
      <c r="K60" s="10">
        <f>157</f>
        <v>157</v>
      </c>
      <c r="L60" s="28">
        <f>SUM(V56:V59)</f>
        <v>3432.26</v>
      </c>
    </row>
    <row r="61" spans="1:27" ht="15" x14ac:dyDescent="0.25">
      <c r="A61" s="31"/>
      <c r="B61" s="31"/>
      <c r="C61" s="31"/>
      <c r="D61" s="31"/>
      <c r="E61" s="31"/>
      <c r="F61" s="31"/>
      <c r="G61" s="31"/>
      <c r="H61" s="31"/>
      <c r="I61" s="58">
        <f>J58+J60</f>
        <v>303.60000000000002</v>
      </c>
      <c r="J61" s="58"/>
      <c r="K61" s="58">
        <f>L58+L60</f>
        <v>6200.26</v>
      </c>
      <c r="L61" s="58"/>
      <c r="O61" s="30">
        <f>J58+J60</f>
        <v>303.60000000000002</v>
      </c>
      <c r="P61" s="30">
        <f>L58+L60</f>
        <v>6200.26</v>
      </c>
      <c r="X61">
        <f>IF(Source!BI30&lt;=1,J58+J60-0, 0)</f>
        <v>303.60000000000002</v>
      </c>
      <c r="Y61">
        <f>IF(Source!BI30=2,J58+J60-0, 0)</f>
        <v>0</v>
      </c>
      <c r="Z61">
        <f>IF(Source!BI30=3,J58+J60-0, 0)</f>
        <v>0</v>
      </c>
      <c r="AA61">
        <f>IF(Source!BI30=4,J58+J60,0)</f>
        <v>0</v>
      </c>
    </row>
    <row r="62" spans="1:27" ht="28.5" x14ac:dyDescent="0.2">
      <c r="A62" s="23">
        <v>4</v>
      </c>
      <c r="B62" s="23" t="str">
        <f>Source!E31</f>
        <v>4</v>
      </c>
      <c r="C62" s="24" t="str">
        <f>Source!F31</f>
        <v>4.8-74-1</v>
      </c>
      <c r="D62" s="24" t="s">
        <v>43</v>
      </c>
      <c r="E62" s="25" t="str">
        <f>Source!H31</f>
        <v>100 м</v>
      </c>
      <c r="F62" s="10">
        <f>Source!I31</f>
        <v>0.74750000000000005</v>
      </c>
      <c r="G62" s="27"/>
      <c r="H62" s="26"/>
      <c r="I62" s="10"/>
      <c r="J62" s="28"/>
      <c r="K62" s="10"/>
      <c r="L62" s="28"/>
      <c r="Q62">
        <f>ROUND((Source!DN31/100)*ROUND((ROUND((Source!AF31*Source!AV31*Source!I31),2)),2), 2)</f>
        <v>68.16</v>
      </c>
      <c r="R62">
        <f>Source!X31</f>
        <v>1142.67</v>
      </c>
      <c r="S62">
        <f>ROUND((Source!DO31/100)*ROUND((ROUND((Source!AF31*Source!AV31*Source!I31),2)),2), 2)</f>
        <v>40.06</v>
      </c>
      <c r="T62">
        <f>Source!Y31</f>
        <v>608.44000000000005</v>
      </c>
      <c r="U62">
        <f>ROUND((175/100)*ROUND((ROUND((Source!AE31*Source!AV31*Source!I31),2)),2), 2)</f>
        <v>125.41</v>
      </c>
      <c r="V62">
        <f>ROUND((157/100)*ROUND(ROUND((ROUND((Source!AE31*Source!AV31*Source!I31),2)*Source!BS31),2), 2), 2)</f>
        <v>2792.4</v>
      </c>
    </row>
    <row r="63" spans="1:27" x14ac:dyDescent="0.2">
      <c r="D63" s="29" t="str">
        <f>"Объем: "&amp;Source!I31&amp;"=65/"&amp;"100*"&amp;"1,15"</f>
        <v>Объем: 0,7475=65/100*1,15</v>
      </c>
    </row>
    <row r="64" spans="1:27" ht="14.25" x14ac:dyDescent="0.2">
      <c r="A64" s="23"/>
      <c r="B64" s="23"/>
      <c r="C64" s="24"/>
      <c r="D64" s="24" t="s">
        <v>267</v>
      </c>
      <c r="E64" s="25"/>
      <c r="F64" s="10"/>
      <c r="G64" s="27">
        <f>Source!AO31</f>
        <v>74.97</v>
      </c>
      <c r="H64" s="26" t="str">
        <f>Source!DG31</f>
        <v/>
      </c>
      <c r="I64" s="10">
        <f>Source!AV31</f>
        <v>1.0669999999999999</v>
      </c>
      <c r="J64" s="28">
        <f>ROUND((ROUND((Source!AF31*Source!AV31*Source!I31),2)),2)</f>
        <v>59.79</v>
      </c>
      <c r="K64" s="10">
        <f>IF(Source!BA31&lt;&gt; 0, Source!BA31, 1)</f>
        <v>24.82</v>
      </c>
      <c r="L64" s="28">
        <f>Source!S31</f>
        <v>1483.99</v>
      </c>
      <c r="W64">
        <f>J64</f>
        <v>59.79</v>
      </c>
    </row>
    <row r="65" spans="1:27" ht="14.25" x14ac:dyDescent="0.2">
      <c r="A65" s="23"/>
      <c r="B65" s="23"/>
      <c r="C65" s="24"/>
      <c r="D65" s="24" t="s">
        <v>273</v>
      </c>
      <c r="E65" s="25"/>
      <c r="F65" s="10"/>
      <c r="G65" s="27">
        <f>Source!AM31</f>
        <v>386.9</v>
      </c>
      <c r="H65" s="26" t="str">
        <f>Source!DE31</f>
        <v/>
      </c>
      <c r="I65" s="10">
        <f>Source!AV31</f>
        <v>1.0669999999999999</v>
      </c>
      <c r="J65" s="28">
        <f>(ROUND((ROUND(((Source!ET31)*Source!AV31*Source!I31),2)),2)+ROUND((ROUND(((Source!AE31-(Source!EU31))*Source!AV31*Source!I31),2)),2))</f>
        <v>308.58</v>
      </c>
      <c r="K65" s="10">
        <f>IF(Source!BB31&lt;&gt; 0, Source!BB31, 1)</f>
        <v>8.93</v>
      </c>
      <c r="L65" s="28">
        <f>Source!Q31</f>
        <v>2755.62</v>
      </c>
    </row>
    <row r="66" spans="1:27" ht="14.25" x14ac:dyDescent="0.2">
      <c r="A66" s="23"/>
      <c r="B66" s="23"/>
      <c r="C66" s="24"/>
      <c r="D66" s="24" t="s">
        <v>274</v>
      </c>
      <c r="E66" s="25"/>
      <c r="F66" s="10"/>
      <c r="G66" s="27">
        <f>Source!AN31</f>
        <v>89.85</v>
      </c>
      <c r="H66" s="26" t="str">
        <f>Source!DF31</f>
        <v/>
      </c>
      <c r="I66" s="10">
        <f>Source!AV31</f>
        <v>1.0669999999999999</v>
      </c>
      <c r="J66" s="32">
        <f>ROUND((ROUND((Source!AE31*Source!AV31*Source!I31),2)),2)</f>
        <v>71.66</v>
      </c>
      <c r="K66" s="10">
        <f>IF(Source!BS31&lt;&gt; 0, Source!BS31, 1)</f>
        <v>24.82</v>
      </c>
      <c r="L66" s="32">
        <f>Source!R31</f>
        <v>1778.6</v>
      </c>
      <c r="W66">
        <f>J66</f>
        <v>71.66</v>
      </c>
    </row>
    <row r="67" spans="1:27" ht="14.25" x14ac:dyDescent="0.2">
      <c r="A67" s="23"/>
      <c r="B67" s="23"/>
      <c r="C67" s="24"/>
      <c r="D67" s="24" t="s">
        <v>276</v>
      </c>
      <c r="E67" s="25"/>
      <c r="F67" s="10"/>
      <c r="G67" s="27">
        <f>Source!AL31</f>
        <v>0.56000000000000005</v>
      </c>
      <c r="H67" s="26" t="str">
        <f>Source!DD31</f>
        <v/>
      </c>
      <c r="I67" s="10">
        <f>Source!AW31</f>
        <v>1.081</v>
      </c>
      <c r="J67" s="28">
        <f>ROUND((ROUND((Source!AC31*Source!AW31*Source!I31),2)),2)</f>
        <v>0.45</v>
      </c>
      <c r="K67" s="10">
        <f>IF(Source!BC31&lt;&gt; 0, Source!BC31, 1)</f>
        <v>5.29</v>
      </c>
      <c r="L67" s="28">
        <f>Source!P31</f>
        <v>2.38</v>
      </c>
    </row>
    <row r="68" spans="1:27" ht="14.25" x14ac:dyDescent="0.2">
      <c r="A68" s="23"/>
      <c r="B68" s="23"/>
      <c r="C68" s="24"/>
      <c r="D68" s="24" t="s">
        <v>268</v>
      </c>
      <c r="E68" s="25" t="s">
        <v>269</v>
      </c>
      <c r="F68" s="10">
        <f>Source!DN31</f>
        <v>114</v>
      </c>
      <c r="G68" s="27"/>
      <c r="H68" s="26"/>
      <c r="I68" s="10"/>
      <c r="J68" s="28">
        <f>SUM(Q62:Q67)</f>
        <v>68.16</v>
      </c>
      <c r="K68" s="10">
        <f>Source!BZ31</f>
        <v>77</v>
      </c>
      <c r="L68" s="28">
        <f>SUM(R62:R67)</f>
        <v>1142.67</v>
      </c>
    </row>
    <row r="69" spans="1:27" ht="14.25" x14ac:dyDescent="0.2">
      <c r="A69" s="23"/>
      <c r="B69" s="23"/>
      <c r="C69" s="24"/>
      <c r="D69" s="24" t="s">
        <v>270</v>
      </c>
      <c r="E69" s="25" t="s">
        <v>269</v>
      </c>
      <c r="F69" s="10">
        <f>Source!DO31</f>
        <v>67</v>
      </c>
      <c r="G69" s="27"/>
      <c r="H69" s="26"/>
      <c r="I69" s="10"/>
      <c r="J69" s="28">
        <f>SUM(S62:S68)</f>
        <v>40.06</v>
      </c>
      <c r="K69" s="10">
        <f>Source!CA31</f>
        <v>41</v>
      </c>
      <c r="L69" s="28">
        <f>SUM(T62:T68)</f>
        <v>608.44000000000005</v>
      </c>
    </row>
    <row r="70" spans="1:27" ht="14.25" x14ac:dyDescent="0.2">
      <c r="A70" s="23"/>
      <c r="B70" s="23"/>
      <c r="C70" s="24"/>
      <c r="D70" s="24" t="s">
        <v>275</v>
      </c>
      <c r="E70" s="25" t="s">
        <v>269</v>
      </c>
      <c r="F70" s="10">
        <f>175</f>
        <v>175</v>
      </c>
      <c r="G70" s="27"/>
      <c r="H70" s="26"/>
      <c r="I70" s="10"/>
      <c r="J70" s="28">
        <f>SUM(U62:U69)</f>
        <v>125.41</v>
      </c>
      <c r="K70" s="10">
        <f>157</f>
        <v>157</v>
      </c>
      <c r="L70" s="28">
        <f>SUM(V62:V69)</f>
        <v>2792.4</v>
      </c>
    </row>
    <row r="71" spans="1:27" ht="14.25" x14ac:dyDescent="0.2">
      <c r="A71" s="23"/>
      <c r="B71" s="23"/>
      <c r="C71" s="24"/>
      <c r="D71" s="24" t="s">
        <v>271</v>
      </c>
      <c r="E71" s="25" t="s">
        <v>272</v>
      </c>
      <c r="F71" s="10">
        <f>Source!AQ31</f>
        <v>6.08</v>
      </c>
      <c r="G71" s="27"/>
      <c r="H71" s="26" t="str">
        <f>Source!DI31</f>
        <v/>
      </c>
      <c r="I71" s="10">
        <f>Source!AV31</f>
        <v>1.0669999999999999</v>
      </c>
      <c r="J71" s="28">
        <f>Source!U31</f>
        <v>4.8493016000000004</v>
      </c>
      <c r="K71" s="10"/>
      <c r="L71" s="28"/>
    </row>
    <row r="72" spans="1:27" ht="15" x14ac:dyDescent="0.25">
      <c r="A72" s="31"/>
      <c r="B72" s="31"/>
      <c r="C72" s="31"/>
      <c r="D72" s="31"/>
      <c r="E72" s="31"/>
      <c r="F72" s="31"/>
      <c r="G72" s="31"/>
      <c r="H72" s="31"/>
      <c r="I72" s="58">
        <f>J64+J65+J67+J68+J69+J70</f>
        <v>602.45000000000005</v>
      </c>
      <c r="J72" s="58"/>
      <c r="K72" s="58">
        <f>L64+L65+L67+L68+L69+L70</f>
        <v>8785.5</v>
      </c>
      <c r="L72" s="58"/>
      <c r="O72" s="30">
        <f>J64+J65+J67+J68+J69+J70</f>
        <v>602.45000000000005</v>
      </c>
      <c r="P72" s="30">
        <f>L64+L65+L67+L68+L69+L70</f>
        <v>8785.5</v>
      </c>
      <c r="X72">
        <f>IF(Source!BI31&lt;=1,J64+J65+J67+J68+J69+J70-0, 0)</f>
        <v>0</v>
      </c>
      <c r="Y72">
        <f>IF(Source!BI31=2,J64+J65+J67+J68+J69+J70-0, 0)</f>
        <v>602.45000000000005</v>
      </c>
      <c r="Z72">
        <f>IF(Source!BI31=3,J64+J65+J67+J68+J69+J70-0, 0)</f>
        <v>0</v>
      </c>
      <c r="AA72">
        <f>IF(Source!BI31=4,J64+J65+J67+J68+J69+J70,0)</f>
        <v>0</v>
      </c>
    </row>
    <row r="73" spans="1:27" ht="42.75" x14ac:dyDescent="0.2">
      <c r="A73" s="23">
        <v>5</v>
      </c>
      <c r="B73" s="23" t="str">
        <f>Source!E32</f>
        <v>5</v>
      </c>
      <c r="C73" s="24" t="str">
        <f>Source!F32</f>
        <v>3.34-18-1</v>
      </c>
      <c r="D73" s="24" t="s">
        <v>51</v>
      </c>
      <c r="E73" s="25" t="str">
        <f>Source!H32</f>
        <v>км</v>
      </c>
      <c r="F73" s="10">
        <f>Source!I32</f>
        <v>1.2E-2</v>
      </c>
      <c r="G73" s="27"/>
      <c r="H73" s="26"/>
      <c r="I73" s="10"/>
      <c r="J73" s="28"/>
      <c r="K73" s="10"/>
      <c r="L73" s="28"/>
      <c r="Q73">
        <f>ROUND((Source!DN32/100)*ROUND((ROUND((Source!AF32*Source!AV32*Source!I32),2)),2), 2)</f>
        <v>21.32</v>
      </c>
      <c r="R73">
        <f>Source!X32</f>
        <v>425.31</v>
      </c>
      <c r="S73">
        <f>ROUND((Source!DO32/100)*ROUND((ROUND((Source!AF32*Source!AV32*Source!I32),2)),2), 2)</f>
        <v>13.33</v>
      </c>
      <c r="T73">
        <f>Source!Y32</f>
        <v>193.75</v>
      </c>
      <c r="U73">
        <f>ROUND((175/100)*ROUND((ROUND((Source!AE32*Source!AV32*Source!I32),2)),2), 2)</f>
        <v>0</v>
      </c>
      <c r="V73">
        <f>ROUND((157/100)*ROUND(ROUND((ROUND((Source!AE32*Source!AV32*Source!I32),2)*Source!BS32),2), 2), 2)</f>
        <v>0</v>
      </c>
    </row>
    <row r="74" spans="1:27" ht="14.25" x14ac:dyDescent="0.2">
      <c r="A74" s="23"/>
      <c r="B74" s="23"/>
      <c r="C74" s="24"/>
      <c r="D74" s="24" t="s">
        <v>267</v>
      </c>
      <c r="E74" s="25"/>
      <c r="F74" s="10"/>
      <c r="G74" s="27">
        <f>Source!AO32</f>
        <v>1486.94</v>
      </c>
      <c r="H74" s="26" t="str">
        <f>Source!DG32</f>
        <v/>
      </c>
      <c r="I74" s="10">
        <f>Source!AV32</f>
        <v>1.0669999999999999</v>
      </c>
      <c r="J74" s="28">
        <f>ROUND((ROUND((Source!AF32*Source!AV32*Source!I32),2)),2)</f>
        <v>19.04</v>
      </c>
      <c r="K74" s="10">
        <f>IF(Source!BA32&lt;&gt; 0, Source!BA32, 1)</f>
        <v>24.82</v>
      </c>
      <c r="L74" s="28">
        <f>Source!S32</f>
        <v>472.57</v>
      </c>
      <c r="W74">
        <f>J74</f>
        <v>19.04</v>
      </c>
    </row>
    <row r="75" spans="1:27" ht="14.25" x14ac:dyDescent="0.2">
      <c r="A75" s="23"/>
      <c r="B75" s="23"/>
      <c r="C75" s="24"/>
      <c r="D75" s="24" t="s">
        <v>276</v>
      </c>
      <c r="E75" s="25"/>
      <c r="F75" s="10"/>
      <c r="G75" s="27">
        <f>Source!AL32</f>
        <v>44.38</v>
      </c>
      <c r="H75" s="26" t="str">
        <f>Source!DD32</f>
        <v/>
      </c>
      <c r="I75" s="10">
        <f>Source!AW32</f>
        <v>1.081</v>
      </c>
      <c r="J75" s="28">
        <f>ROUND((ROUND((Source!AC32*Source!AW32*Source!I32),2)),2)</f>
        <v>0.57999999999999996</v>
      </c>
      <c r="K75" s="10">
        <f>IF(Source!BC32&lt;&gt; 0, Source!BC32, 1)</f>
        <v>5.29</v>
      </c>
      <c r="L75" s="28">
        <f>Source!P32</f>
        <v>3.07</v>
      </c>
    </row>
    <row r="76" spans="1:27" ht="14.25" x14ac:dyDescent="0.2">
      <c r="A76" s="23"/>
      <c r="B76" s="23"/>
      <c r="C76" s="24"/>
      <c r="D76" s="24" t="s">
        <v>268</v>
      </c>
      <c r="E76" s="25" t="s">
        <v>269</v>
      </c>
      <c r="F76" s="10">
        <f>Source!DN32</f>
        <v>112</v>
      </c>
      <c r="G76" s="27"/>
      <c r="H76" s="26"/>
      <c r="I76" s="10"/>
      <c r="J76" s="28">
        <f>SUM(Q73:Q75)</f>
        <v>21.32</v>
      </c>
      <c r="K76" s="10">
        <f>Source!BZ32</f>
        <v>90</v>
      </c>
      <c r="L76" s="28">
        <f>SUM(R73:R75)</f>
        <v>425.31</v>
      </c>
    </row>
    <row r="77" spans="1:27" ht="14.25" x14ac:dyDescent="0.2">
      <c r="A77" s="23"/>
      <c r="B77" s="23"/>
      <c r="C77" s="24"/>
      <c r="D77" s="24" t="s">
        <v>270</v>
      </c>
      <c r="E77" s="25" t="s">
        <v>269</v>
      </c>
      <c r="F77" s="10">
        <f>Source!DO32</f>
        <v>70</v>
      </c>
      <c r="G77" s="27"/>
      <c r="H77" s="26"/>
      <c r="I77" s="10"/>
      <c r="J77" s="28">
        <f>SUM(S73:S76)</f>
        <v>13.33</v>
      </c>
      <c r="K77" s="10">
        <f>Source!CA32</f>
        <v>41</v>
      </c>
      <c r="L77" s="28">
        <f>SUM(T73:T76)</f>
        <v>193.75</v>
      </c>
    </row>
    <row r="78" spans="1:27" ht="14.25" x14ac:dyDescent="0.2">
      <c r="A78" s="23"/>
      <c r="B78" s="23"/>
      <c r="C78" s="24"/>
      <c r="D78" s="24" t="s">
        <v>271</v>
      </c>
      <c r="E78" s="25" t="s">
        <v>272</v>
      </c>
      <c r="F78" s="10">
        <f>Source!AQ32</f>
        <v>133</v>
      </c>
      <c r="G78" s="27"/>
      <c r="H78" s="26" t="str">
        <f>Source!DI32</f>
        <v/>
      </c>
      <c r="I78" s="10">
        <f>Source!AV32</f>
        <v>1.0669999999999999</v>
      </c>
      <c r="J78" s="28">
        <f>Source!U32</f>
        <v>1.7029320000000001</v>
      </c>
      <c r="K78" s="10"/>
      <c r="L78" s="28"/>
    </row>
    <row r="79" spans="1:27" ht="15" x14ac:dyDescent="0.25">
      <c r="A79" s="31"/>
      <c r="B79" s="31"/>
      <c r="C79" s="31"/>
      <c r="D79" s="31"/>
      <c r="E79" s="31"/>
      <c r="F79" s="31"/>
      <c r="G79" s="31"/>
      <c r="H79" s="31"/>
      <c r="I79" s="58">
        <f>J74+J75+J76+J77</f>
        <v>54.269999999999996</v>
      </c>
      <c r="J79" s="58"/>
      <c r="K79" s="58">
        <f>L74+L75+L76+L77</f>
        <v>1094.7</v>
      </c>
      <c r="L79" s="58"/>
      <c r="O79" s="30">
        <f>J74+J75+J76+J77</f>
        <v>54.269999999999996</v>
      </c>
      <c r="P79" s="30">
        <f>L74+L75+L76+L77</f>
        <v>1094.7</v>
      </c>
      <c r="X79">
        <f>IF(Source!BI32&lt;=1,J74+J75+J76+J77-0, 0)</f>
        <v>54.269999999999996</v>
      </c>
      <c r="Y79">
        <f>IF(Source!BI32=2,J74+J75+J76+J77-0, 0)</f>
        <v>0</v>
      </c>
      <c r="Z79">
        <f>IF(Source!BI32=3,J74+J75+J76+J77-0, 0)</f>
        <v>0</v>
      </c>
      <c r="AA79">
        <f>IF(Source!BI32=4,J74+J75+J76+J77,0)</f>
        <v>0</v>
      </c>
    </row>
    <row r="80" spans="1:27" ht="114" x14ac:dyDescent="0.2">
      <c r="A80" s="23">
        <v>6</v>
      </c>
      <c r="B80" s="23" t="str">
        <f>Source!E33</f>
        <v>6</v>
      </c>
      <c r="C80" s="24" t="str">
        <f>Source!F33</f>
        <v>4.8-75-6</v>
      </c>
      <c r="D80" s="24" t="s">
        <v>58</v>
      </c>
      <c r="E80" s="25" t="str">
        <f>Source!H33</f>
        <v>100 м</v>
      </c>
      <c r="F80" s="10">
        <f>Source!I33</f>
        <v>0.65</v>
      </c>
      <c r="G80" s="27"/>
      <c r="H80" s="26"/>
      <c r="I80" s="10"/>
      <c r="J80" s="28"/>
      <c r="K80" s="10"/>
      <c r="L80" s="28"/>
      <c r="Q80">
        <f>ROUND((Source!DN33/100)*ROUND((ROUND((Source!AF33*Source!AV33*Source!I33),2)),2), 2)</f>
        <v>34.630000000000003</v>
      </c>
      <c r="R80">
        <f>Source!X33</f>
        <v>580.6</v>
      </c>
      <c r="S80">
        <f>ROUND((Source!DO33/100)*ROUND((ROUND((Source!AF33*Source!AV33*Source!I33),2)),2), 2)</f>
        <v>20.350000000000001</v>
      </c>
      <c r="T80">
        <f>Source!Y33</f>
        <v>309.14999999999998</v>
      </c>
      <c r="U80">
        <f>ROUND((175/100)*ROUND((ROUND((Source!AE33*Source!AV33*Source!I33),2)),2), 2)</f>
        <v>2.35</v>
      </c>
      <c r="V80">
        <f>ROUND((157/100)*ROUND(ROUND((ROUND((Source!AE33*Source!AV33*Source!I33),2)*Source!BS33),2), 2), 2)</f>
        <v>52.22</v>
      </c>
    </row>
    <row r="81" spans="1:27" x14ac:dyDescent="0.2">
      <c r="D81" s="29" t="str">
        <f>"Объем: "&amp;Source!I33&amp;"=65/"&amp;"100"</f>
        <v>Объем: 0,65=65/100</v>
      </c>
    </row>
    <row r="82" spans="1:27" ht="14.25" x14ac:dyDescent="0.2">
      <c r="A82" s="23"/>
      <c r="B82" s="23"/>
      <c r="C82" s="24"/>
      <c r="D82" s="24" t="s">
        <v>267</v>
      </c>
      <c r="E82" s="25"/>
      <c r="F82" s="10"/>
      <c r="G82" s="27">
        <f>Source!AO33</f>
        <v>43.8</v>
      </c>
      <c r="H82" s="26" t="str">
        <f>Source!DG33</f>
        <v/>
      </c>
      <c r="I82" s="10">
        <f>Source!AV33</f>
        <v>1.0669999999999999</v>
      </c>
      <c r="J82" s="28">
        <f>ROUND((ROUND((Source!AF33*Source!AV33*Source!I33),2)),2)</f>
        <v>30.38</v>
      </c>
      <c r="K82" s="10">
        <f>IF(Source!BA33&lt;&gt; 0, Source!BA33, 1)</f>
        <v>24.82</v>
      </c>
      <c r="L82" s="28">
        <f>Source!S33</f>
        <v>754.03</v>
      </c>
      <c r="W82">
        <f>J82</f>
        <v>30.38</v>
      </c>
    </row>
    <row r="83" spans="1:27" ht="14.25" x14ac:dyDescent="0.2">
      <c r="A83" s="23"/>
      <c r="B83" s="23"/>
      <c r="C83" s="24"/>
      <c r="D83" s="24" t="s">
        <v>273</v>
      </c>
      <c r="E83" s="25"/>
      <c r="F83" s="10"/>
      <c r="G83" s="27">
        <f>Source!AM33</f>
        <v>8.19</v>
      </c>
      <c r="H83" s="26" t="str">
        <f>Source!DE33</f>
        <v/>
      </c>
      <c r="I83" s="10">
        <f>Source!AV33</f>
        <v>1.0669999999999999</v>
      </c>
      <c r="J83" s="28">
        <f>(ROUND((ROUND(((Source!ET33)*Source!AV33*Source!I33),2)),2)+ROUND((ROUND(((Source!AE33-(Source!EU33))*Source!AV33*Source!I33),2)),2))</f>
        <v>5.68</v>
      </c>
      <c r="K83" s="10">
        <f>IF(Source!BB33&lt;&gt; 0, Source!BB33, 1)</f>
        <v>9.77</v>
      </c>
      <c r="L83" s="28">
        <f>Source!Q33</f>
        <v>55.49</v>
      </c>
    </row>
    <row r="84" spans="1:27" ht="14.25" x14ac:dyDescent="0.2">
      <c r="A84" s="23"/>
      <c r="B84" s="23"/>
      <c r="C84" s="24"/>
      <c r="D84" s="24" t="s">
        <v>274</v>
      </c>
      <c r="E84" s="25"/>
      <c r="F84" s="10"/>
      <c r="G84" s="27">
        <f>Source!AN33</f>
        <v>1.93</v>
      </c>
      <c r="H84" s="26" t="str">
        <f>Source!DF33</f>
        <v/>
      </c>
      <c r="I84" s="10">
        <f>Source!AV33</f>
        <v>1.0669999999999999</v>
      </c>
      <c r="J84" s="32">
        <f>ROUND((ROUND((Source!AE33*Source!AV33*Source!I33),2)),2)</f>
        <v>1.34</v>
      </c>
      <c r="K84" s="10">
        <f>IF(Source!BS33&lt;&gt; 0, Source!BS33, 1)</f>
        <v>24.82</v>
      </c>
      <c r="L84" s="32">
        <f>Source!R33</f>
        <v>33.26</v>
      </c>
      <c r="W84">
        <f>J84</f>
        <v>1.34</v>
      </c>
    </row>
    <row r="85" spans="1:27" ht="57" x14ac:dyDescent="0.2">
      <c r="A85" s="23">
        <v>7</v>
      </c>
      <c r="B85" s="23" t="str">
        <f>Source!E34</f>
        <v>6,1</v>
      </c>
      <c r="C85" s="24" t="str">
        <f>Source!F34</f>
        <v>1.1-1-3459</v>
      </c>
      <c r="D85" s="24" t="s">
        <v>64</v>
      </c>
      <c r="E85" s="25" t="str">
        <f>Source!H34</f>
        <v>шт.</v>
      </c>
      <c r="F85" s="10">
        <f>Source!I34</f>
        <v>133.9</v>
      </c>
      <c r="G85" s="27">
        <f>Source!AK34</f>
        <v>8.82</v>
      </c>
      <c r="H85" s="33" t="s">
        <v>3</v>
      </c>
      <c r="I85" s="10">
        <f>Source!AW34</f>
        <v>1.081</v>
      </c>
      <c r="J85" s="28">
        <f>ROUND((ROUND((Source!AC34*Source!AW34*Source!I34),2)),2)+(ROUND((ROUND(((Source!ET34)*Source!AV34*Source!I34),2)),2)+ROUND((ROUND(((Source!AE34-(Source!EU34))*Source!AV34*Source!I34),2)),2))+ROUND((ROUND((Source!AF34*Source!AV34*Source!I34),2)),2)</f>
        <v>1276.6600000000001</v>
      </c>
      <c r="K85" s="10">
        <f>IF(Source!BC34&lt;&gt; 0, Source!BC34, 1)</f>
        <v>6.35</v>
      </c>
      <c r="L85" s="28">
        <f>Source!O34</f>
        <v>8106.79</v>
      </c>
      <c r="Q85">
        <f>ROUND((Source!DN34/100)*ROUND((ROUND((Source!AF34*Source!AV34*Source!I34),2)),2), 2)</f>
        <v>0</v>
      </c>
      <c r="R85">
        <f>Source!X34</f>
        <v>0</v>
      </c>
      <c r="S85">
        <f>ROUND((Source!DO34/100)*ROUND((ROUND((Source!AF34*Source!AV34*Source!I34),2)),2), 2)</f>
        <v>0</v>
      </c>
      <c r="T85">
        <f>Source!Y34</f>
        <v>0</v>
      </c>
      <c r="U85">
        <f>ROUND((175/100)*ROUND((ROUND((Source!AE34*Source!AV34*Source!I34),2)),2), 2)</f>
        <v>0</v>
      </c>
      <c r="V85">
        <f>ROUND((157/100)*ROUND(ROUND((ROUND((Source!AE34*Source!AV34*Source!I34),2)*Source!BS34),2), 2), 2)</f>
        <v>0</v>
      </c>
      <c r="X85">
        <f>IF(Source!BI34&lt;=1,J85, 0)</f>
        <v>0</v>
      </c>
      <c r="Y85">
        <f>IF(Source!BI34=2,J85, 0)</f>
        <v>1276.6600000000001</v>
      </c>
      <c r="Z85">
        <f>IF(Source!BI34=3,J85, 0)</f>
        <v>0</v>
      </c>
      <c r="AA85">
        <f>IF(Source!BI34=4,J85, 0)</f>
        <v>0</v>
      </c>
    </row>
    <row r="86" spans="1:27" ht="14.25" x14ac:dyDescent="0.2">
      <c r="A86" s="23"/>
      <c r="B86" s="23"/>
      <c r="C86" s="24"/>
      <c r="D86" s="24" t="s">
        <v>268</v>
      </c>
      <c r="E86" s="25" t="s">
        <v>269</v>
      </c>
      <c r="F86" s="10">
        <f>Source!DN33</f>
        <v>114</v>
      </c>
      <c r="G86" s="27"/>
      <c r="H86" s="26"/>
      <c r="I86" s="10"/>
      <c r="J86" s="28">
        <f>SUM(Q80:Q85)</f>
        <v>34.630000000000003</v>
      </c>
      <c r="K86" s="10">
        <f>Source!BZ33</f>
        <v>77</v>
      </c>
      <c r="L86" s="28">
        <f>SUM(R80:R85)</f>
        <v>580.6</v>
      </c>
    </row>
    <row r="87" spans="1:27" ht="14.25" x14ac:dyDescent="0.2">
      <c r="A87" s="23"/>
      <c r="B87" s="23"/>
      <c r="C87" s="24"/>
      <c r="D87" s="24" t="s">
        <v>270</v>
      </c>
      <c r="E87" s="25" t="s">
        <v>269</v>
      </c>
      <c r="F87" s="10">
        <f>Source!DO33</f>
        <v>67</v>
      </c>
      <c r="G87" s="27"/>
      <c r="H87" s="26"/>
      <c r="I87" s="10"/>
      <c r="J87" s="28">
        <f>SUM(S80:S86)</f>
        <v>20.350000000000001</v>
      </c>
      <c r="K87" s="10">
        <f>Source!CA33</f>
        <v>41</v>
      </c>
      <c r="L87" s="28">
        <f>SUM(T80:T86)</f>
        <v>309.14999999999998</v>
      </c>
    </row>
    <row r="88" spans="1:27" ht="14.25" x14ac:dyDescent="0.2">
      <c r="A88" s="23"/>
      <c r="B88" s="23"/>
      <c r="C88" s="24"/>
      <c r="D88" s="24" t="s">
        <v>275</v>
      </c>
      <c r="E88" s="25" t="s">
        <v>269</v>
      </c>
      <c r="F88" s="10">
        <f>175</f>
        <v>175</v>
      </c>
      <c r="G88" s="27"/>
      <c r="H88" s="26"/>
      <c r="I88" s="10"/>
      <c r="J88" s="28">
        <f>SUM(U80:U87)</f>
        <v>2.35</v>
      </c>
      <c r="K88" s="10">
        <f>157</f>
        <v>157</v>
      </c>
      <c r="L88" s="28">
        <f>SUM(V80:V87)</f>
        <v>52.22</v>
      </c>
    </row>
    <row r="89" spans="1:27" ht="14.25" x14ac:dyDescent="0.2">
      <c r="A89" s="23"/>
      <c r="B89" s="23"/>
      <c r="C89" s="24"/>
      <c r="D89" s="24" t="s">
        <v>271</v>
      </c>
      <c r="E89" s="25" t="s">
        <v>272</v>
      </c>
      <c r="F89" s="10">
        <f>Source!AQ33</f>
        <v>4.16</v>
      </c>
      <c r="G89" s="27"/>
      <c r="H89" s="26" t="str">
        <f>Source!DI33</f>
        <v/>
      </c>
      <c r="I89" s="10">
        <f>Source!AV33</f>
        <v>1.0669999999999999</v>
      </c>
      <c r="J89" s="28">
        <f>Source!U33</f>
        <v>2.8851680000000002</v>
      </c>
      <c r="K89" s="10"/>
      <c r="L89" s="28"/>
    </row>
    <row r="90" spans="1:27" ht="15" x14ac:dyDescent="0.25">
      <c r="A90" s="31"/>
      <c r="B90" s="31"/>
      <c r="C90" s="31"/>
      <c r="D90" s="31"/>
      <c r="E90" s="31"/>
      <c r="F90" s="31"/>
      <c r="G90" s="31"/>
      <c r="H90" s="31"/>
      <c r="I90" s="58">
        <f>J82+J83+J86+J87+J88+SUM(J85:J85)</f>
        <v>1370.0500000000002</v>
      </c>
      <c r="J90" s="58"/>
      <c r="K90" s="58">
        <f>L82+L83+L86+L87+L88+SUM(L85:L85)</f>
        <v>9858.2800000000007</v>
      </c>
      <c r="L90" s="58"/>
      <c r="O90" s="30">
        <f>J82+J83+J86+J87+J88+SUM(J85:J85)</f>
        <v>1370.0500000000002</v>
      </c>
      <c r="P90" s="30">
        <f>L82+L83+L86+L87+L88+SUM(L85:L85)</f>
        <v>9858.2800000000007</v>
      </c>
      <c r="X90">
        <f>IF(Source!BI33&lt;=1,J82+J83+J86+J87+J88-0, 0)</f>
        <v>0</v>
      </c>
      <c r="Y90">
        <f>IF(Source!BI33=2,J82+J83+J86+J87+J88-0, 0)</f>
        <v>93.389999999999986</v>
      </c>
      <c r="Z90">
        <f>IF(Source!BI33=3,J82+J83+J86+J87+J88-0, 0)</f>
        <v>0</v>
      </c>
      <c r="AA90">
        <f>IF(Source!BI33=4,J82+J83+J86+J87+J88,0)</f>
        <v>0</v>
      </c>
    </row>
    <row r="91" spans="1:27" ht="71.25" x14ac:dyDescent="0.2">
      <c r="A91" s="23">
        <v>8</v>
      </c>
      <c r="B91" s="23" t="str">
        <f>Source!E35</f>
        <v>7</v>
      </c>
      <c r="C91" s="24" t="str">
        <f>Source!F35</f>
        <v>3.1-29-2</v>
      </c>
      <c r="D91" s="24" t="s">
        <v>69</v>
      </c>
      <c r="E91" s="25" t="str">
        <f>Source!H35</f>
        <v>100 м3</v>
      </c>
      <c r="F91" s="10">
        <f>Source!I35</f>
        <v>0.23400000000000001</v>
      </c>
      <c r="G91" s="27"/>
      <c r="H91" s="26"/>
      <c r="I91" s="10"/>
      <c r="J91" s="28"/>
      <c r="K91" s="10"/>
      <c r="L91" s="28"/>
      <c r="Q91">
        <f>ROUND((Source!DN35/100)*ROUND((ROUND((Source!AF35*Source!AV35*Source!I35),2)),2), 2)</f>
        <v>34.619999999999997</v>
      </c>
      <c r="R91">
        <f>Source!X35</f>
        <v>806.74</v>
      </c>
      <c r="S91">
        <f>ROUND((Source!DO35/100)*ROUND((ROUND((Source!AF35*Source!AV35*Source!I35),2)),2), 2)</f>
        <v>27.2</v>
      </c>
      <c r="T91">
        <f>Source!Y35</f>
        <v>438.45</v>
      </c>
      <c r="U91">
        <f>ROUND((175/100)*ROUND((ROUND((Source!AE35*Source!AV35*Source!I35),2)),2), 2)</f>
        <v>99.52</v>
      </c>
      <c r="V91">
        <f>ROUND((157/100)*ROUND(ROUND((ROUND((Source!AE35*Source!AV35*Source!I35),2)*Source!BS35),2), 2), 2)</f>
        <v>2216.0700000000002</v>
      </c>
    </row>
    <row r="92" spans="1:27" ht="14.25" x14ac:dyDescent="0.2">
      <c r="A92" s="23"/>
      <c r="B92" s="23"/>
      <c r="C92" s="24"/>
      <c r="D92" s="24" t="s">
        <v>267</v>
      </c>
      <c r="E92" s="25"/>
      <c r="F92" s="10"/>
      <c r="G92" s="27">
        <f>Source!AO35</f>
        <v>144.22</v>
      </c>
      <c r="H92" s="26" t="str">
        <f>Source!DG35</f>
        <v/>
      </c>
      <c r="I92" s="10">
        <f>Source!AV35</f>
        <v>1.0469999999999999</v>
      </c>
      <c r="J92" s="28">
        <f>ROUND((ROUND((Source!AF35*Source!AV35*Source!I35),2)),2)</f>
        <v>35.33</v>
      </c>
      <c r="K92" s="10">
        <f>IF(Source!BA35&lt;&gt; 0, Source!BA35, 1)</f>
        <v>24.82</v>
      </c>
      <c r="L92" s="28">
        <f>Source!S35</f>
        <v>876.89</v>
      </c>
      <c r="W92">
        <f>J92</f>
        <v>35.33</v>
      </c>
    </row>
    <row r="93" spans="1:27" ht="14.25" x14ac:dyDescent="0.2">
      <c r="A93" s="23"/>
      <c r="B93" s="23"/>
      <c r="C93" s="24"/>
      <c r="D93" s="24" t="s">
        <v>273</v>
      </c>
      <c r="E93" s="25"/>
      <c r="F93" s="10"/>
      <c r="G93" s="27">
        <f>Source!AM35</f>
        <v>766.63</v>
      </c>
      <c r="H93" s="26" t="str">
        <f>Source!DE35</f>
        <v/>
      </c>
      <c r="I93" s="10">
        <f>Source!AV35</f>
        <v>1.0469999999999999</v>
      </c>
      <c r="J93" s="28">
        <f>(ROUND((ROUND(((Source!ET35)*Source!AV35*Source!I35),2)),2)+ROUND((ROUND(((Source!AE35-(Source!EU35))*Source!AV35*Source!I35),2)),2))</f>
        <v>187.82</v>
      </c>
      <c r="K93" s="10">
        <f>IF(Source!BB35&lt;&gt; 0, Source!BB35, 1)</f>
        <v>12.19</v>
      </c>
      <c r="L93" s="28">
        <f>Source!Q35</f>
        <v>2289.5300000000002</v>
      </c>
    </row>
    <row r="94" spans="1:27" ht="14.25" x14ac:dyDescent="0.2">
      <c r="A94" s="23"/>
      <c r="B94" s="23"/>
      <c r="C94" s="24"/>
      <c r="D94" s="24" t="s">
        <v>274</v>
      </c>
      <c r="E94" s="25"/>
      <c r="F94" s="10"/>
      <c r="G94" s="27">
        <f>Source!AN35</f>
        <v>232.13</v>
      </c>
      <c r="H94" s="26" t="str">
        <f>Source!DF35</f>
        <v/>
      </c>
      <c r="I94" s="10">
        <f>Source!AV35</f>
        <v>1.0469999999999999</v>
      </c>
      <c r="J94" s="32">
        <f>ROUND((ROUND((Source!AE35*Source!AV35*Source!I35),2)),2)</f>
        <v>56.87</v>
      </c>
      <c r="K94" s="10">
        <f>IF(Source!BS35&lt;&gt; 0, Source!BS35, 1)</f>
        <v>24.82</v>
      </c>
      <c r="L94" s="32">
        <f>Source!R35</f>
        <v>1411.51</v>
      </c>
      <c r="W94">
        <f>J94</f>
        <v>56.87</v>
      </c>
    </row>
    <row r="95" spans="1:27" ht="14.25" x14ac:dyDescent="0.2">
      <c r="A95" s="23"/>
      <c r="B95" s="23"/>
      <c r="C95" s="24"/>
      <c r="D95" s="24" t="s">
        <v>268</v>
      </c>
      <c r="E95" s="25" t="s">
        <v>269</v>
      </c>
      <c r="F95" s="10">
        <f>Source!DN35</f>
        <v>98</v>
      </c>
      <c r="G95" s="27"/>
      <c r="H95" s="26"/>
      <c r="I95" s="10"/>
      <c r="J95" s="28">
        <f>SUM(Q91:Q94)</f>
        <v>34.619999999999997</v>
      </c>
      <c r="K95" s="10">
        <f>Source!BZ35</f>
        <v>92</v>
      </c>
      <c r="L95" s="28">
        <f>SUM(R91:R94)</f>
        <v>806.74</v>
      </c>
    </row>
    <row r="96" spans="1:27" ht="14.25" x14ac:dyDescent="0.2">
      <c r="A96" s="23"/>
      <c r="B96" s="23"/>
      <c r="C96" s="24"/>
      <c r="D96" s="24" t="s">
        <v>270</v>
      </c>
      <c r="E96" s="25" t="s">
        <v>269</v>
      </c>
      <c r="F96" s="10">
        <f>Source!DO35</f>
        <v>77</v>
      </c>
      <c r="G96" s="27"/>
      <c r="H96" s="26"/>
      <c r="I96" s="10"/>
      <c r="J96" s="28">
        <f>SUM(S91:S95)</f>
        <v>27.2</v>
      </c>
      <c r="K96" s="10">
        <f>Source!CA35</f>
        <v>50</v>
      </c>
      <c r="L96" s="28">
        <f>SUM(T91:T95)</f>
        <v>438.45</v>
      </c>
    </row>
    <row r="97" spans="1:27" ht="14.25" x14ac:dyDescent="0.2">
      <c r="A97" s="23"/>
      <c r="B97" s="23"/>
      <c r="C97" s="24"/>
      <c r="D97" s="24" t="s">
        <v>275</v>
      </c>
      <c r="E97" s="25" t="s">
        <v>269</v>
      </c>
      <c r="F97" s="10">
        <f>175</f>
        <v>175</v>
      </c>
      <c r="G97" s="27"/>
      <c r="H97" s="26"/>
      <c r="I97" s="10"/>
      <c r="J97" s="28">
        <f>SUM(U91:U96)</f>
        <v>99.52</v>
      </c>
      <c r="K97" s="10">
        <f>157</f>
        <v>157</v>
      </c>
      <c r="L97" s="28">
        <f>SUM(V91:V96)</f>
        <v>2216.0700000000002</v>
      </c>
    </row>
    <row r="98" spans="1:27" ht="14.25" x14ac:dyDescent="0.2">
      <c r="A98" s="23"/>
      <c r="B98" s="23"/>
      <c r="C98" s="24"/>
      <c r="D98" s="24" t="s">
        <v>271</v>
      </c>
      <c r="E98" s="25" t="s">
        <v>272</v>
      </c>
      <c r="F98" s="10">
        <f>Source!AQ35</f>
        <v>12.9</v>
      </c>
      <c r="G98" s="27"/>
      <c r="H98" s="26" t="str">
        <f>Source!DI35</f>
        <v/>
      </c>
      <c r="I98" s="10">
        <f>Source!AV35</f>
        <v>1.0469999999999999</v>
      </c>
      <c r="J98" s="28">
        <f>Source!U35</f>
        <v>3.1604741999999999</v>
      </c>
      <c r="K98" s="10"/>
      <c r="L98" s="28"/>
    </row>
    <row r="99" spans="1:27" ht="15" x14ac:dyDescent="0.25">
      <c r="A99" s="31"/>
      <c r="B99" s="31"/>
      <c r="C99" s="31"/>
      <c r="D99" s="31"/>
      <c r="E99" s="31"/>
      <c r="F99" s="31"/>
      <c r="G99" s="31"/>
      <c r="H99" s="31"/>
      <c r="I99" s="58">
        <f>J92+J93+J95+J96+J97</f>
        <v>384.48999999999995</v>
      </c>
      <c r="J99" s="58"/>
      <c r="K99" s="58">
        <f>L92+L93+L95+L96+L97</f>
        <v>6627.68</v>
      </c>
      <c r="L99" s="58"/>
      <c r="O99" s="30">
        <f>J92+J93+J95+J96+J97</f>
        <v>384.48999999999995</v>
      </c>
      <c r="P99" s="30">
        <f>L92+L93+L95+L96+L97</f>
        <v>6627.68</v>
      </c>
      <c r="X99">
        <f>IF(Source!BI35&lt;=1,J92+J93+J95+J96+J97-0, 0)</f>
        <v>384.48999999999995</v>
      </c>
      <c r="Y99">
        <f>IF(Source!BI35=2,J92+J93+J95+J96+J97-0, 0)</f>
        <v>0</v>
      </c>
      <c r="Z99">
        <f>IF(Source!BI35=3,J92+J93+J95+J96+J97-0, 0)</f>
        <v>0</v>
      </c>
      <c r="AA99">
        <f>IF(Source!BI35=4,J92+J93+J95+J96+J97,0)</f>
        <v>0</v>
      </c>
    </row>
    <row r="101" spans="1:27" ht="15" x14ac:dyDescent="0.25">
      <c r="A101" s="56" t="str">
        <f>CONCATENATE("Итого по разделу: ",IF(Source!G37&lt;&gt;"Новый раздел", Source!G37, ""))</f>
        <v>Итого по разделу: Земляные работы.</v>
      </c>
      <c r="B101" s="56"/>
      <c r="C101" s="56"/>
      <c r="D101" s="56"/>
      <c r="E101" s="56"/>
      <c r="F101" s="56"/>
      <c r="G101" s="56"/>
      <c r="H101" s="56"/>
      <c r="I101" s="54">
        <f>SUM(O42:O100)</f>
        <v>5045.7999999999993</v>
      </c>
      <c r="J101" s="55"/>
      <c r="K101" s="54">
        <f>SUM(P42:P100)</f>
        <v>80554.070000000007</v>
      </c>
      <c r="L101" s="55"/>
    </row>
    <row r="102" spans="1:27" hidden="1" x14ac:dyDescent="0.2">
      <c r="A102" t="s">
        <v>277</v>
      </c>
      <c r="I102">
        <f>SUM(AC42:AC101)</f>
        <v>0</v>
      </c>
      <c r="K102">
        <f>SUM(AD42:AD101)</f>
        <v>0</v>
      </c>
    </row>
    <row r="103" spans="1:27" hidden="1" x14ac:dyDescent="0.2">
      <c r="A103" t="s">
        <v>278</v>
      </c>
      <c r="I103">
        <f>SUM(AE42:AE102)</f>
        <v>0</v>
      </c>
      <c r="K103">
        <f>SUM(AF42:AF102)</f>
        <v>0</v>
      </c>
    </row>
    <row r="105" spans="1:27" ht="16.5" x14ac:dyDescent="0.25">
      <c r="A105" s="57" t="str">
        <f>CONCATENATE("Раздел: ",IF(Source!G67&lt;&gt;"Новый раздел", Source!G67, ""))</f>
        <v>Раздел: Электромонтажные работы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</row>
    <row r="106" spans="1:27" ht="42.75" x14ac:dyDescent="0.2">
      <c r="A106" s="23">
        <v>9</v>
      </c>
      <c r="B106" s="23" t="str">
        <f>Source!E71</f>
        <v>8</v>
      </c>
      <c r="C106" s="24" t="str">
        <f>Source!F71</f>
        <v>4.8-73-4</v>
      </c>
      <c r="D106" s="24" t="s">
        <v>130</v>
      </c>
      <c r="E106" s="25" t="str">
        <f>Source!H71</f>
        <v>100 м</v>
      </c>
      <c r="F106" s="10">
        <f>Source!I71</f>
        <v>0.66300000000000003</v>
      </c>
      <c r="G106" s="27"/>
      <c r="H106" s="26"/>
      <c r="I106" s="10"/>
      <c r="J106" s="28"/>
      <c r="K106" s="10"/>
      <c r="L106" s="28"/>
      <c r="Q106">
        <f>ROUND((Source!DN71/100)*ROUND((ROUND((Source!AF71*Source!AV71*Source!I71),2)),2), 2)</f>
        <v>186.94</v>
      </c>
      <c r="R106">
        <f>Source!X71</f>
        <v>3133.88</v>
      </c>
      <c r="S106">
        <f>ROUND((Source!DO71/100)*ROUND((ROUND((Source!AF71*Source!AV71*Source!I71),2)),2), 2)</f>
        <v>109.87</v>
      </c>
      <c r="T106">
        <f>Source!Y71</f>
        <v>1668.69</v>
      </c>
      <c r="U106">
        <f>ROUND((175/100)*ROUND((ROUND((Source!AE71*Source!AV71*Source!I71),2)),2), 2)</f>
        <v>127.14</v>
      </c>
      <c r="V106">
        <f>ROUND((157/100)*ROUND(ROUND((ROUND((Source!AE71*Source!AV71*Source!I71),2)*Source!BS71),2), 2), 2)</f>
        <v>2830.98</v>
      </c>
    </row>
    <row r="107" spans="1:27" x14ac:dyDescent="0.2">
      <c r="D107" s="29" t="str">
        <f>"Объем: "&amp;Source!I71&amp;"=(65*"&amp;"1,02)/"&amp;"100"</f>
        <v>Объем: 0,663=(65*1,02)/100</v>
      </c>
    </row>
    <row r="108" spans="1:27" ht="14.25" x14ac:dyDescent="0.2">
      <c r="A108" s="23"/>
      <c r="B108" s="23"/>
      <c r="C108" s="24"/>
      <c r="D108" s="24" t="s">
        <v>267</v>
      </c>
      <c r="E108" s="25"/>
      <c r="F108" s="10"/>
      <c r="G108" s="27">
        <f>Source!AO71</f>
        <v>231.8</v>
      </c>
      <c r="H108" s="26" t="str">
        <f>Source!DG71</f>
        <v/>
      </c>
      <c r="I108" s="10">
        <f>Source!AV71</f>
        <v>1.0669999999999999</v>
      </c>
      <c r="J108" s="28">
        <f>ROUND((ROUND((Source!AF71*Source!AV71*Source!I71),2)),2)</f>
        <v>163.98</v>
      </c>
      <c r="K108" s="10">
        <f>IF(Source!BA71&lt;&gt; 0, Source!BA71, 1)</f>
        <v>24.82</v>
      </c>
      <c r="L108" s="28">
        <f>Source!S71</f>
        <v>4069.98</v>
      </c>
      <c r="W108">
        <f>J108</f>
        <v>163.98</v>
      </c>
    </row>
    <row r="109" spans="1:27" ht="14.25" x14ac:dyDescent="0.2">
      <c r="A109" s="23"/>
      <c r="B109" s="23"/>
      <c r="C109" s="24"/>
      <c r="D109" s="24" t="s">
        <v>273</v>
      </c>
      <c r="E109" s="25"/>
      <c r="F109" s="10"/>
      <c r="G109" s="27">
        <f>Source!AM71</f>
        <v>601.29</v>
      </c>
      <c r="H109" s="26" t="str">
        <f>Source!DE71</f>
        <v/>
      </c>
      <c r="I109" s="10">
        <f>Source!AV71</f>
        <v>1.0669999999999999</v>
      </c>
      <c r="J109" s="28">
        <f>(ROUND((ROUND(((Source!ET71)*Source!AV71*Source!I71),2)),2)+ROUND((ROUND(((Source!AE71-(Source!EU71))*Source!AV71*Source!I71),2)),2))</f>
        <v>425.37</v>
      </c>
      <c r="K109" s="10">
        <f>IF(Source!BB71&lt;&gt; 0, Source!BB71, 1)</f>
        <v>5.95</v>
      </c>
      <c r="L109" s="28">
        <f>Source!Q71</f>
        <v>2530.9499999999998</v>
      </c>
    </row>
    <row r="110" spans="1:27" ht="14.25" x14ac:dyDescent="0.2">
      <c r="A110" s="23"/>
      <c r="B110" s="23"/>
      <c r="C110" s="24"/>
      <c r="D110" s="24" t="s">
        <v>274</v>
      </c>
      <c r="E110" s="25"/>
      <c r="F110" s="10"/>
      <c r="G110" s="27">
        <f>Source!AN71</f>
        <v>102.7</v>
      </c>
      <c r="H110" s="26" t="str">
        <f>Source!DF71</f>
        <v/>
      </c>
      <c r="I110" s="10">
        <f>Source!AV71</f>
        <v>1.0669999999999999</v>
      </c>
      <c r="J110" s="32">
        <f>ROUND((ROUND((Source!AE71*Source!AV71*Source!I71),2)),2)</f>
        <v>72.650000000000006</v>
      </c>
      <c r="K110" s="10">
        <f>IF(Source!BS71&lt;&gt; 0, Source!BS71, 1)</f>
        <v>24.82</v>
      </c>
      <c r="L110" s="32">
        <f>Source!R71</f>
        <v>1803.17</v>
      </c>
      <c r="W110">
        <f>J110</f>
        <v>72.650000000000006</v>
      </c>
    </row>
    <row r="111" spans="1:27" ht="14.25" x14ac:dyDescent="0.2">
      <c r="A111" s="23"/>
      <c r="B111" s="23"/>
      <c r="C111" s="24"/>
      <c r="D111" s="24" t="s">
        <v>276</v>
      </c>
      <c r="E111" s="25"/>
      <c r="F111" s="10"/>
      <c r="G111" s="27">
        <f>Source!AL71</f>
        <v>25.83</v>
      </c>
      <c r="H111" s="26" t="str">
        <f>Source!DD71</f>
        <v/>
      </c>
      <c r="I111" s="10">
        <f>Source!AW71</f>
        <v>1.081</v>
      </c>
      <c r="J111" s="28">
        <f>ROUND((ROUND((Source!AC71*Source!AW71*Source!I71),2)),2)</f>
        <v>18.510000000000002</v>
      </c>
      <c r="K111" s="10">
        <f>IF(Source!BC71&lt;&gt; 0, Source!BC71, 1)</f>
        <v>5.29</v>
      </c>
      <c r="L111" s="28">
        <f>Source!P71</f>
        <v>97.92</v>
      </c>
    </row>
    <row r="112" spans="1:27" ht="14.25" x14ac:dyDescent="0.2">
      <c r="A112" s="23"/>
      <c r="B112" s="23"/>
      <c r="C112" s="24"/>
      <c r="D112" s="24" t="s">
        <v>268</v>
      </c>
      <c r="E112" s="25" t="s">
        <v>269</v>
      </c>
      <c r="F112" s="10">
        <f>Source!DN71</f>
        <v>114</v>
      </c>
      <c r="G112" s="27"/>
      <c r="H112" s="26"/>
      <c r="I112" s="10"/>
      <c r="J112" s="28">
        <f>SUM(Q106:Q111)</f>
        <v>186.94</v>
      </c>
      <c r="K112" s="10">
        <f>Source!BZ71</f>
        <v>77</v>
      </c>
      <c r="L112" s="28">
        <f>SUM(R106:R111)</f>
        <v>3133.88</v>
      </c>
    </row>
    <row r="113" spans="1:27" ht="14.25" x14ac:dyDescent="0.2">
      <c r="A113" s="23"/>
      <c r="B113" s="23"/>
      <c r="C113" s="24"/>
      <c r="D113" s="24" t="s">
        <v>270</v>
      </c>
      <c r="E113" s="25" t="s">
        <v>269</v>
      </c>
      <c r="F113" s="10">
        <f>Source!DO71</f>
        <v>67</v>
      </c>
      <c r="G113" s="27"/>
      <c r="H113" s="26"/>
      <c r="I113" s="10"/>
      <c r="J113" s="28">
        <f>SUM(S106:S112)</f>
        <v>109.87</v>
      </c>
      <c r="K113" s="10">
        <f>Source!CA71</f>
        <v>41</v>
      </c>
      <c r="L113" s="28">
        <f>SUM(T106:T112)</f>
        <v>1668.69</v>
      </c>
    </row>
    <row r="114" spans="1:27" ht="14.25" x14ac:dyDescent="0.2">
      <c r="A114" s="23"/>
      <c r="B114" s="23"/>
      <c r="C114" s="24"/>
      <c r="D114" s="24" t="s">
        <v>275</v>
      </c>
      <c r="E114" s="25" t="s">
        <v>269</v>
      </c>
      <c r="F114" s="10">
        <f>175</f>
        <v>175</v>
      </c>
      <c r="G114" s="27"/>
      <c r="H114" s="26"/>
      <c r="I114" s="10"/>
      <c r="J114" s="28">
        <f>SUM(U106:U113)</f>
        <v>127.14</v>
      </c>
      <c r="K114" s="10">
        <f>157</f>
        <v>157</v>
      </c>
      <c r="L114" s="28">
        <f>SUM(V106:V113)</f>
        <v>2830.98</v>
      </c>
    </row>
    <row r="115" spans="1:27" ht="14.25" x14ac:dyDescent="0.2">
      <c r="A115" s="23"/>
      <c r="B115" s="23"/>
      <c r="C115" s="24"/>
      <c r="D115" s="24" t="s">
        <v>271</v>
      </c>
      <c r="E115" s="25" t="s">
        <v>272</v>
      </c>
      <c r="F115" s="10">
        <f>Source!AQ71</f>
        <v>18.8</v>
      </c>
      <c r="G115" s="27"/>
      <c r="H115" s="26" t="str">
        <f>Source!DI71</f>
        <v/>
      </c>
      <c r="I115" s="10">
        <f>Source!AV71</f>
        <v>1.0669999999999999</v>
      </c>
      <c r="J115" s="28">
        <f>Source!U71</f>
        <v>13.299514800000001</v>
      </c>
      <c r="K115" s="10"/>
      <c r="L115" s="28"/>
    </row>
    <row r="116" spans="1:27" ht="15" x14ac:dyDescent="0.25">
      <c r="A116" s="31"/>
      <c r="B116" s="31"/>
      <c r="C116" s="31"/>
      <c r="D116" s="31"/>
      <c r="E116" s="31"/>
      <c r="F116" s="31"/>
      <c r="G116" s="31"/>
      <c r="H116" s="31"/>
      <c r="I116" s="58">
        <f>J108+J109+J111+J112+J113+J114</f>
        <v>1031.81</v>
      </c>
      <c r="J116" s="58"/>
      <c r="K116" s="58">
        <f>L108+L109+L111+L112+L113+L114</f>
        <v>14332.4</v>
      </c>
      <c r="L116" s="58"/>
      <c r="O116" s="30">
        <f>J108+J109+J111+J112+J113+J114</f>
        <v>1031.81</v>
      </c>
      <c r="P116" s="30">
        <f>L108+L109+L111+L112+L113+L114</f>
        <v>14332.4</v>
      </c>
      <c r="X116">
        <f>IF(Source!BI71&lt;=1,J108+J109+J111+J112+J113+J114-0, 0)</f>
        <v>0</v>
      </c>
      <c r="Y116">
        <f>IF(Source!BI71=2,J108+J109+J111+J112+J113+J114-0, 0)</f>
        <v>1031.81</v>
      </c>
      <c r="Z116">
        <f>IF(Source!BI71=3,J108+J109+J111+J112+J113+J114-0, 0)</f>
        <v>0</v>
      </c>
      <c r="AA116">
        <f>IF(Source!BI71=4,J108+J109+J111+J112+J113+J114,0)</f>
        <v>0</v>
      </c>
    </row>
    <row r="117" spans="1:27" ht="42.75" x14ac:dyDescent="0.2">
      <c r="A117" s="23">
        <v>10</v>
      </c>
      <c r="B117" s="23" t="str">
        <f>Source!E72</f>
        <v>9</v>
      </c>
      <c r="C117" s="24" t="str">
        <f>Source!F72</f>
        <v>4.8-80-4</v>
      </c>
      <c r="D117" s="24" t="s">
        <v>134</v>
      </c>
      <c r="E117" s="25" t="str">
        <f>Source!H72</f>
        <v>100 м</v>
      </c>
      <c r="F117" s="10">
        <f>Source!I72</f>
        <v>1.2E-2</v>
      </c>
      <c r="G117" s="27"/>
      <c r="H117" s="26"/>
      <c r="I117" s="10"/>
      <c r="J117" s="28"/>
      <c r="K117" s="10"/>
      <c r="L117" s="28"/>
      <c r="Q117">
        <f>ROUND((Source!DN72/100)*ROUND((ROUND((Source!AF72*Source!AV72*Source!I72),2)),2), 2)</f>
        <v>4.47</v>
      </c>
      <c r="R117">
        <f>Source!X72</f>
        <v>74.91</v>
      </c>
      <c r="S117">
        <f>ROUND((Source!DO72/100)*ROUND((ROUND((Source!AF72*Source!AV72*Source!I72),2)),2), 2)</f>
        <v>2.63</v>
      </c>
      <c r="T117">
        <f>Source!Y72</f>
        <v>39.89</v>
      </c>
      <c r="U117">
        <f>ROUND((175/100)*ROUND((ROUND((Source!AE72*Source!AV72*Source!I72),2)),2), 2)</f>
        <v>0.67</v>
      </c>
      <c r="V117">
        <f>ROUND((157/100)*ROUND(ROUND((ROUND((Source!AE72*Source!AV72*Source!I72),2)*Source!BS72),2), 2), 2)</f>
        <v>14.81</v>
      </c>
    </row>
    <row r="118" spans="1:27" ht="14.25" x14ac:dyDescent="0.2">
      <c r="A118" s="23"/>
      <c r="B118" s="23"/>
      <c r="C118" s="24"/>
      <c r="D118" s="24" t="s">
        <v>267</v>
      </c>
      <c r="E118" s="25"/>
      <c r="F118" s="10"/>
      <c r="G118" s="27">
        <f>Source!AO72</f>
        <v>305.77999999999997</v>
      </c>
      <c r="H118" s="26" t="str">
        <f>Source!DG72</f>
        <v/>
      </c>
      <c r="I118" s="10">
        <f>Source!AV72</f>
        <v>1.0669999999999999</v>
      </c>
      <c r="J118" s="28">
        <f>ROUND((ROUND((Source!AF72*Source!AV72*Source!I72),2)),2)</f>
        <v>3.92</v>
      </c>
      <c r="K118" s="10">
        <f>IF(Source!BA72&lt;&gt; 0, Source!BA72, 1)</f>
        <v>24.82</v>
      </c>
      <c r="L118" s="28">
        <f>Source!S72</f>
        <v>97.29</v>
      </c>
      <c r="W118">
        <f>J118</f>
        <v>3.92</v>
      </c>
    </row>
    <row r="119" spans="1:27" ht="14.25" x14ac:dyDescent="0.2">
      <c r="A119" s="23"/>
      <c r="B119" s="23"/>
      <c r="C119" s="24"/>
      <c r="D119" s="24" t="s">
        <v>273</v>
      </c>
      <c r="E119" s="25"/>
      <c r="F119" s="10"/>
      <c r="G119" s="27">
        <f>Source!AM72</f>
        <v>130.57</v>
      </c>
      <c r="H119" s="26" t="str">
        <f>Source!DE72</f>
        <v/>
      </c>
      <c r="I119" s="10">
        <f>Source!AV72</f>
        <v>1.0669999999999999</v>
      </c>
      <c r="J119" s="28">
        <f>(ROUND((ROUND(((Source!ET72)*Source!AV72*Source!I72),2)),2)+ROUND((ROUND(((Source!AE72-(Source!EU72))*Source!AV72*Source!I72),2)),2))</f>
        <v>1.67</v>
      </c>
      <c r="K119" s="10">
        <f>IF(Source!BB72&lt;&gt; 0, Source!BB72, 1)</f>
        <v>8.82</v>
      </c>
      <c r="L119" s="28">
        <f>Source!Q72</f>
        <v>14.73</v>
      </c>
    </row>
    <row r="120" spans="1:27" ht="14.25" x14ac:dyDescent="0.2">
      <c r="A120" s="23"/>
      <c r="B120" s="23"/>
      <c r="C120" s="24"/>
      <c r="D120" s="24" t="s">
        <v>274</v>
      </c>
      <c r="E120" s="25"/>
      <c r="F120" s="10"/>
      <c r="G120" s="27">
        <f>Source!AN72</f>
        <v>29.79</v>
      </c>
      <c r="H120" s="26" t="str">
        <f>Source!DF72</f>
        <v/>
      </c>
      <c r="I120" s="10">
        <f>Source!AV72</f>
        <v>1.0669999999999999</v>
      </c>
      <c r="J120" s="32">
        <f>ROUND((ROUND((Source!AE72*Source!AV72*Source!I72),2)),2)</f>
        <v>0.38</v>
      </c>
      <c r="K120" s="10">
        <f>IF(Source!BS72&lt;&gt; 0, Source!BS72, 1)</f>
        <v>24.82</v>
      </c>
      <c r="L120" s="32">
        <f>Source!R72</f>
        <v>9.43</v>
      </c>
      <c r="W120">
        <f>J120</f>
        <v>0.38</v>
      </c>
    </row>
    <row r="121" spans="1:27" ht="14.25" x14ac:dyDescent="0.2">
      <c r="A121" s="23"/>
      <c r="B121" s="23"/>
      <c r="C121" s="24"/>
      <c r="D121" s="24" t="s">
        <v>276</v>
      </c>
      <c r="E121" s="25"/>
      <c r="F121" s="10"/>
      <c r="G121" s="27">
        <f>Source!AL72</f>
        <v>36.19</v>
      </c>
      <c r="H121" s="26" t="str">
        <f>Source!DD72</f>
        <v/>
      </c>
      <c r="I121" s="10">
        <f>Source!AW72</f>
        <v>1.081</v>
      </c>
      <c r="J121" s="28">
        <f>ROUND((ROUND((Source!AC72*Source!AW72*Source!I72),2)),2)</f>
        <v>0.47</v>
      </c>
      <c r="K121" s="10">
        <f>IF(Source!BC72&lt;&gt; 0, Source!BC72, 1)</f>
        <v>5.29</v>
      </c>
      <c r="L121" s="28">
        <f>Source!P72</f>
        <v>2.4900000000000002</v>
      </c>
    </row>
    <row r="122" spans="1:27" ht="14.25" x14ac:dyDescent="0.2">
      <c r="A122" s="23"/>
      <c r="B122" s="23"/>
      <c r="C122" s="24"/>
      <c r="D122" s="24" t="s">
        <v>268</v>
      </c>
      <c r="E122" s="25" t="s">
        <v>269</v>
      </c>
      <c r="F122" s="10">
        <f>Source!DN72</f>
        <v>114</v>
      </c>
      <c r="G122" s="27"/>
      <c r="H122" s="26"/>
      <c r="I122" s="10"/>
      <c r="J122" s="28">
        <f>SUM(Q117:Q121)</f>
        <v>4.47</v>
      </c>
      <c r="K122" s="10">
        <f>Source!BZ72</f>
        <v>77</v>
      </c>
      <c r="L122" s="28">
        <f>SUM(R117:R121)</f>
        <v>74.91</v>
      </c>
    </row>
    <row r="123" spans="1:27" ht="14.25" x14ac:dyDescent="0.2">
      <c r="A123" s="23"/>
      <c r="B123" s="23"/>
      <c r="C123" s="24"/>
      <c r="D123" s="24" t="s">
        <v>270</v>
      </c>
      <c r="E123" s="25" t="s">
        <v>269</v>
      </c>
      <c r="F123" s="10">
        <f>Source!DO72</f>
        <v>67</v>
      </c>
      <c r="G123" s="27"/>
      <c r="H123" s="26"/>
      <c r="I123" s="10"/>
      <c r="J123" s="28">
        <f>SUM(S117:S122)</f>
        <v>2.63</v>
      </c>
      <c r="K123" s="10">
        <f>Source!CA72</f>
        <v>41</v>
      </c>
      <c r="L123" s="28">
        <f>SUM(T117:T122)</f>
        <v>39.89</v>
      </c>
    </row>
    <row r="124" spans="1:27" ht="14.25" x14ac:dyDescent="0.2">
      <c r="A124" s="23"/>
      <c r="B124" s="23"/>
      <c r="C124" s="24"/>
      <c r="D124" s="24" t="s">
        <v>275</v>
      </c>
      <c r="E124" s="25" t="s">
        <v>269</v>
      </c>
      <c r="F124" s="10">
        <f>175</f>
        <v>175</v>
      </c>
      <c r="G124" s="27"/>
      <c r="H124" s="26"/>
      <c r="I124" s="10"/>
      <c r="J124" s="28">
        <f>SUM(U117:U123)</f>
        <v>0.67</v>
      </c>
      <c r="K124" s="10">
        <f>157</f>
        <v>157</v>
      </c>
      <c r="L124" s="28">
        <f>SUM(V117:V123)</f>
        <v>14.81</v>
      </c>
    </row>
    <row r="125" spans="1:27" ht="14.25" x14ac:dyDescent="0.2">
      <c r="A125" s="23"/>
      <c r="B125" s="23"/>
      <c r="C125" s="24"/>
      <c r="D125" s="24" t="s">
        <v>271</v>
      </c>
      <c r="E125" s="25" t="s">
        <v>272</v>
      </c>
      <c r="F125" s="10">
        <f>Source!AQ72</f>
        <v>24.8</v>
      </c>
      <c r="G125" s="27"/>
      <c r="H125" s="26" t="str">
        <f>Source!DI72</f>
        <v/>
      </c>
      <c r="I125" s="10">
        <f>Source!AV72</f>
        <v>1.0669999999999999</v>
      </c>
      <c r="J125" s="28">
        <f>Source!U72</f>
        <v>0.31753920000000002</v>
      </c>
      <c r="K125" s="10"/>
      <c r="L125" s="28"/>
    </row>
    <row r="126" spans="1:27" ht="15" x14ac:dyDescent="0.25">
      <c r="A126" s="31"/>
      <c r="B126" s="31"/>
      <c r="C126" s="31"/>
      <c r="D126" s="31"/>
      <c r="E126" s="31"/>
      <c r="F126" s="31"/>
      <c r="G126" s="31"/>
      <c r="H126" s="31"/>
      <c r="I126" s="58">
        <f>J118+J119+J121+J122+J123+J124</f>
        <v>13.83</v>
      </c>
      <c r="J126" s="58"/>
      <c r="K126" s="58">
        <f>L118+L119+L121+L122+L123+L124</f>
        <v>244.12</v>
      </c>
      <c r="L126" s="58"/>
      <c r="O126" s="30">
        <f>J118+J119+J121+J122+J123+J124</f>
        <v>13.83</v>
      </c>
      <c r="P126" s="30">
        <f>L118+L119+L121+L122+L123+L124</f>
        <v>244.12</v>
      </c>
      <c r="X126">
        <f>IF(Source!BI72&lt;=1,J118+J119+J121+J122+J123+J124-0, 0)</f>
        <v>0</v>
      </c>
      <c r="Y126">
        <f>IF(Source!BI72=2,J118+J119+J121+J122+J123+J124-0, 0)</f>
        <v>13.83</v>
      </c>
      <c r="Z126">
        <f>IF(Source!BI72=3,J118+J119+J121+J122+J123+J124-0, 0)</f>
        <v>0</v>
      </c>
      <c r="AA126">
        <f>IF(Source!BI72=4,J118+J119+J121+J122+J123+J124,0)</f>
        <v>0</v>
      </c>
    </row>
    <row r="127" spans="1:27" ht="99.75" x14ac:dyDescent="0.2">
      <c r="A127" s="23">
        <v>11</v>
      </c>
      <c r="B127" s="23" t="str">
        <f>Source!E73</f>
        <v>10</v>
      </c>
      <c r="C127" s="24" t="str">
        <f>Source!F73</f>
        <v>4.8-316-1</v>
      </c>
      <c r="D127" s="24" t="s">
        <v>138</v>
      </c>
      <c r="E127" s="25" t="str">
        <f>Source!H73</f>
        <v>шт.</v>
      </c>
      <c r="F127" s="10">
        <f>Source!I73</f>
        <v>2</v>
      </c>
      <c r="G127" s="27"/>
      <c r="H127" s="26"/>
      <c r="I127" s="10"/>
      <c r="J127" s="28"/>
      <c r="K127" s="10"/>
      <c r="L127" s="28"/>
      <c r="Q127">
        <f>ROUND((Source!DN73/100)*ROUND((ROUND((Source!AF73*Source!AV73*Source!I73),2)),2), 2)</f>
        <v>88.67</v>
      </c>
      <c r="R127">
        <f>Source!X73</f>
        <v>1486.49</v>
      </c>
      <c r="S127">
        <f>ROUND((Source!DO73/100)*ROUND((ROUND((Source!AF73*Source!AV73*Source!I73),2)),2), 2)</f>
        <v>52.11</v>
      </c>
      <c r="T127">
        <f>Source!Y73</f>
        <v>791.51</v>
      </c>
      <c r="U127">
        <f>ROUND((175/100)*ROUND((ROUND((Source!AE73*Source!AV73*Source!I73),2)),2), 2)</f>
        <v>0.63</v>
      </c>
      <c r="V127">
        <f>ROUND((157/100)*ROUND(ROUND((ROUND((Source!AE73*Source!AV73*Source!I73),2)*Source!BS73),2), 2), 2)</f>
        <v>14.04</v>
      </c>
    </row>
    <row r="128" spans="1:27" ht="14.25" x14ac:dyDescent="0.2">
      <c r="A128" s="23"/>
      <c r="B128" s="23"/>
      <c r="C128" s="24"/>
      <c r="D128" s="24" t="s">
        <v>267</v>
      </c>
      <c r="E128" s="25"/>
      <c r="F128" s="10"/>
      <c r="G128" s="27">
        <f>Source!AO73</f>
        <v>36.450000000000003</v>
      </c>
      <c r="H128" s="26" t="str">
        <f>Source!DG73</f>
        <v/>
      </c>
      <c r="I128" s="10">
        <f>Source!AV73</f>
        <v>1.0669999999999999</v>
      </c>
      <c r="J128" s="28">
        <f>ROUND((ROUND((Source!AF73*Source!AV73*Source!I73),2)),2)</f>
        <v>77.78</v>
      </c>
      <c r="K128" s="10">
        <f>IF(Source!BA73&lt;&gt; 0, Source!BA73, 1)</f>
        <v>24.82</v>
      </c>
      <c r="L128" s="28">
        <f>Source!S73</f>
        <v>1930.5</v>
      </c>
      <c r="W128">
        <f>J128</f>
        <v>77.78</v>
      </c>
    </row>
    <row r="129" spans="1:27" ht="14.25" x14ac:dyDescent="0.2">
      <c r="A129" s="23"/>
      <c r="B129" s="23"/>
      <c r="C129" s="24"/>
      <c r="D129" s="24" t="s">
        <v>273</v>
      </c>
      <c r="E129" s="25"/>
      <c r="F129" s="10"/>
      <c r="G129" s="27">
        <f>Source!AM73</f>
        <v>1.18</v>
      </c>
      <c r="H129" s="26" t="str">
        <f>Source!DE73</f>
        <v/>
      </c>
      <c r="I129" s="10">
        <f>Source!AV73</f>
        <v>1.0669999999999999</v>
      </c>
      <c r="J129" s="28">
        <f>(ROUND((ROUND(((Source!ET73)*Source!AV73*Source!I73),2)),2)+ROUND((ROUND(((Source!AE73-(Source!EU73))*Source!AV73*Source!I73),2)),2))</f>
        <v>2.52</v>
      </c>
      <c r="K129" s="10">
        <f>IF(Source!BB73&lt;&gt; 0, Source!BB73, 1)</f>
        <v>7.86</v>
      </c>
      <c r="L129" s="28">
        <f>Source!Q73</f>
        <v>19.809999999999999</v>
      </c>
    </row>
    <row r="130" spans="1:27" ht="14.25" x14ac:dyDescent="0.2">
      <c r="A130" s="23"/>
      <c r="B130" s="23"/>
      <c r="C130" s="24"/>
      <c r="D130" s="24" t="s">
        <v>274</v>
      </c>
      <c r="E130" s="25"/>
      <c r="F130" s="10"/>
      <c r="G130" s="27">
        <f>Source!AN73</f>
        <v>0.17</v>
      </c>
      <c r="H130" s="26" t="str">
        <f>Source!DF73</f>
        <v/>
      </c>
      <c r="I130" s="10">
        <f>Source!AV73</f>
        <v>1.0669999999999999</v>
      </c>
      <c r="J130" s="32">
        <f>ROUND((ROUND((Source!AE73*Source!AV73*Source!I73),2)),2)</f>
        <v>0.36</v>
      </c>
      <c r="K130" s="10">
        <f>IF(Source!BS73&lt;&gt; 0, Source!BS73, 1)</f>
        <v>24.82</v>
      </c>
      <c r="L130" s="32">
        <f>Source!R73</f>
        <v>8.94</v>
      </c>
      <c r="W130">
        <f>J130</f>
        <v>0.36</v>
      </c>
    </row>
    <row r="131" spans="1:27" ht="14.25" x14ac:dyDescent="0.2">
      <c r="A131" s="23"/>
      <c r="B131" s="23"/>
      <c r="C131" s="24"/>
      <c r="D131" s="24" t="s">
        <v>276</v>
      </c>
      <c r="E131" s="25"/>
      <c r="F131" s="10"/>
      <c r="G131" s="27">
        <f>Source!AL73</f>
        <v>7.53</v>
      </c>
      <c r="H131" s="26" t="str">
        <f>Source!DD73</f>
        <v/>
      </c>
      <c r="I131" s="10">
        <f>Source!AW73</f>
        <v>1.028</v>
      </c>
      <c r="J131" s="28">
        <f>ROUND((ROUND((Source!AC73*Source!AW73*Source!I73),2)),2)</f>
        <v>15.48</v>
      </c>
      <c r="K131" s="10">
        <f>IF(Source!BC73&lt;&gt; 0, Source!BC73, 1)</f>
        <v>7.77</v>
      </c>
      <c r="L131" s="28">
        <f>Source!P73</f>
        <v>120.28</v>
      </c>
    </row>
    <row r="132" spans="1:27" ht="14.25" x14ac:dyDescent="0.2">
      <c r="A132" s="23"/>
      <c r="B132" s="23"/>
      <c r="C132" s="24"/>
      <c r="D132" s="24" t="s">
        <v>268</v>
      </c>
      <c r="E132" s="25" t="s">
        <v>269</v>
      </c>
      <c r="F132" s="10">
        <f>Source!DN73</f>
        <v>114</v>
      </c>
      <c r="G132" s="27"/>
      <c r="H132" s="26"/>
      <c r="I132" s="10"/>
      <c r="J132" s="28">
        <f>SUM(Q127:Q131)</f>
        <v>88.67</v>
      </c>
      <c r="K132" s="10">
        <f>Source!BZ73</f>
        <v>77</v>
      </c>
      <c r="L132" s="28">
        <f>SUM(R127:R131)</f>
        <v>1486.49</v>
      </c>
    </row>
    <row r="133" spans="1:27" ht="14.25" x14ac:dyDescent="0.2">
      <c r="A133" s="23"/>
      <c r="B133" s="23"/>
      <c r="C133" s="24"/>
      <c r="D133" s="24" t="s">
        <v>270</v>
      </c>
      <c r="E133" s="25" t="s">
        <v>269</v>
      </c>
      <c r="F133" s="10">
        <f>Source!DO73</f>
        <v>67</v>
      </c>
      <c r="G133" s="27"/>
      <c r="H133" s="26"/>
      <c r="I133" s="10"/>
      <c r="J133" s="28">
        <f>SUM(S127:S132)</f>
        <v>52.11</v>
      </c>
      <c r="K133" s="10">
        <f>Source!CA73</f>
        <v>41</v>
      </c>
      <c r="L133" s="28">
        <f>SUM(T127:T132)</f>
        <v>791.51</v>
      </c>
    </row>
    <row r="134" spans="1:27" ht="14.25" x14ac:dyDescent="0.2">
      <c r="A134" s="23"/>
      <c r="B134" s="23"/>
      <c r="C134" s="24"/>
      <c r="D134" s="24" t="s">
        <v>275</v>
      </c>
      <c r="E134" s="25" t="s">
        <v>269</v>
      </c>
      <c r="F134" s="10">
        <f>175</f>
        <v>175</v>
      </c>
      <c r="G134" s="27"/>
      <c r="H134" s="26"/>
      <c r="I134" s="10"/>
      <c r="J134" s="28">
        <f>SUM(U127:U133)</f>
        <v>0.63</v>
      </c>
      <c r="K134" s="10">
        <f>157</f>
        <v>157</v>
      </c>
      <c r="L134" s="28">
        <f>SUM(V127:V133)</f>
        <v>14.04</v>
      </c>
    </row>
    <row r="135" spans="1:27" ht="14.25" x14ac:dyDescent="0.2">
      <c r="A135" s="23"/>
      <c r="B135" s="23"/>
      <c r="C135" s="24"/>
      <c r="D135" s="24" t="s">
        <v>271</v>
      </c>
      <c r="E135" s="25" t="s">
        <v>272</v>
      </c>
      <c r="F135" s="10">
        <f>Source!AQ73</f>
        <v>2.5099999999999998</v>
      </c>
      <c r="G135" s="27"/>
      <c r="H135" s="26" t="str">
        <f>Source!DI73</f>
        <v/>
      </c>
      <c r="I135" s="10">
        <f>Source!AV73</f>
        <v>1.0669999999999999</v>
      </c>
      <c r="J135" s="28">
        <f>Source!U73</f>
        <v>5.3563399999999994</v>
      </c>
      <c r="K135" s="10"/>
      <c r="L135" s="28"/>
    </row>
    <row r="136" spans="1:27" ht="15" x14ac:dyDescent="0.25">
      <c r="A136" s="31"/>
      <c r="B136" s="31"/>
      <c r="C136" s="31"/>
      <c r="D136" s="31"/>
      <c r="E136" s="31"/>
      <c r="F136" s="31"/>
      <c r="G136" s="31"/>
      <c r="H136" s="31"/>
      <c r="I136" s="58">
        <f>J128+J129+J131+J132+J133+J134</f>
        <v>237.19</v>
      </c>
      <c r="J136" s="58"/>
      <c r="K136" s="58">
        <f>L128+L129+L131+L132+L133+L134</f>
        <v>4362.63</v>
      </c>
      <c r="L136" s="58"/>
      <c r="O136" s="30">
        <f>J128+J129+J131+J132+J133+J134</f>
        <v>237.19</v>
      </c>
      <c r="P136" s="30">
        <f>L128+L129+L131+L132+L133+L134</f>
        <v>4362.63</v>
      </c>
      <c r="X136">
        <f>IF(Source!BI73&lt;=1,J128+J129+J131+J132+J133+J134-0, 0)</f>
        <v>0</v>
      </c>
      <c r="Y136">
        <f>IF(Source!BI73=2,J128+J129+J131+J132+J133+J134-0, 0)</f>
        <v>237.19</v>
      </c>
      <c r="Z136">
        <f>IF(Source!BI73=3,J128+J129+J131+J132+J133+J134-0, 0)</f>
        <v>0</v>
      </c>
      <c r="AA136">
        <f>IF(Source!BI73=4,J128+J129+J131+J132+J133+J134,0)</f>
        <v>0</v>
      </c>
    </row>
    <row r="138" spans="1:27" ht="15" x14ac:dyDescent="0.25">
      <c r="A138" s="56" t="str">
        <f>CONCATENATE("Итого по разделу: ",IF(Source!G75&lt;&gt;"Новый раздел", Source!G75, ""))</f>
        <v>Итого по разделу: Электромонтажные работы</v>
      </c>
      <c r="B138" s="56"/>
      <c r="C138" s="56"/>
      <c r="D138" s="56"/>
      <c r="E138" s="56"/>
      <c r="F138" s="56"/>
      <c r="G138" s="56"/>
      <c r="H138" s="56"/>
      <c r="I138" s="54">
        <f>SUM(O105:O137)</f>
        <v>1282.83</v>
      </c>
      <c r="J138" s="55"/>
      <c r="K138" s="54">
        <f>SUM(P105:P137)</f>
        <v>18939.150000000001</v>
      </c>
      <c r="L138" s="55"/>
    </row>
    <row r="139" spans="1:27" hidden="1" x14ac:dyDescent="0.2">
      <c r="A139" t="s">
        <v>277</v>
      </c>
      <c r="I139">
        <f>SUM(AC105:AC138)</f>
        <v>0</v>
      </c>
      <c r="K139">
        <f>SUM(AD105:AD138)</f>
        <v>0</v>
      </c>
    </row>
    <row r="140" spans="1:27" hidden="1" x14ac:dyDescent="0.2">
      <c r="A140" t="s">
        <v>278</v>
      </c>
      <c r="I140">
        <f>SUM(AE105:AE139)</f>
        <v>0</v>
      </c>
      <c r="K140">
        <f>SUM(AF105:AF139)</f>
        <v>0</v>
      </c>
    </row>
    <row r="142" spans="1:27" ht="16.5" x14ac:dyDescent="0.25">
      <c r="A142" s="57" t="str">
        <f>CONCATENATE("Раздел: ",IF(Source!G105&lt;&gt;"Новый раздел", Source!G105, ""))</f>
        <v>Раздел: Пуско-наладочные работы</v>
      </c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</row>
    <row r="143" spans="1:27" ht="42.75" x14ac:dyDescent="0.2">
      <c r="A143" s="23">
        <v>12</v>
      </c>
      <c r="B143" s="23" t="str">
        <f>Source!E109</f>
        <v>11</v>
      </c>
      <c r="C143" s="24" t="str">
        <f>Source!F109</f>
        <v>5.1-158-1</v>
      </c>
      <c r="D143" s="24" t="s">
        <v>145</v>
      </c>
      <c r="E143" s="25" t="str">
        <f>Source!H109</f>
        <v>фазировка</v>
      </c>
      <c r="F143" s="10">
        <f>Source!I109</f>
        <v>1</v>
      </c>
      <c r="G143" s="27"/>
      <c r="H143" s="26"/>
      <c r="I143" s="10"/>
      <c r="J143" s="28"/>
      <c r="K143" s="10"/>
      <c r="L143" s="28"/>
      <c r="Q143">
        <f>ROUND((Source!DN109/100)*ROUND((ROUND((Source!AF109*Source!AV109*Source!I109),2)),2), 2)</f>
        <v>11.11</v>
      </c>
      <c r="R143">
        <f>Source!X109</f>
        <v>249.95</v>
      </c>
      <c r="S143">
        <f>ROUND((Source!DO109/100)*ROUND((ROUND((Source!AF109*Source!AV109*Source!I109),2)),2), 2)</f>
        <v>10.37</v>
      </c>
      <c r="T143">
        <f>Source!Y109</f>
        <v>150.71</v>
      </c>
      <c r="U143">
        <f>ROUND((175/100)*ROUND((ROUND((Source!AE109*Source!AV109*Source!I109),2)),2), 2)</f>
        <v>0</v>
      </c>
      <c r="V143">
        <f>ROUND((157/100)*ROUND(ROUND((ROUND((Source!AE109*Source!AV109*Source!I109),2)*Source!BS109),2), 2), 2)</f>
        <v>0</v>
      </c>
    </row>
    <row r="144" spans="1:27" ht="28.5" x14ac:dyDescent="0.2">
      <c r="A144" s="23"/>
      <c r="B144" s="23"/>
      <c r="C144" s="24"/>
      <c r="D144" s="24" t="s">
        <v>267</v>
      </c>
      <c r="E144" s="25"/>
      <c r="F144" s="10"/>
      <c r="G144" s="27">
        <f>Source!AO109</f>
        <v>14.24</v>
      </c>
      <c r="H144" s="26" t="str">
        <f>Source!DG109</f>
        <v>)*1,3)*0,8</v>
      </c>
      <c r="I144" s="10">
        <f>Source!AV109</f>
        <v>1</v>
      </c>
      <c r="J144" s="28">
        <f>ROUND((ROUND((Source!AF109*Source!AV109*Source!I109),2)),2)</f>
        <v>14.81</v>
      </c>
      <c r="K144" s="10">
        <f>IF(Source!BA109&lt;&gt; 0, Source!BA109, 1)</f>
        <v>24.82</v>
      </c>
      <c r="L144" s="28">
        <f>Source!S109</f>
        <v>367.58</v>
      </c>
      <c r="W144">
        <f>J144</f>
        <v>14.81</v>
      </c>
    </row>
    <row r="145" spans="1:27" ht="14.25" x14ac:dyDescent="0.2">
      <c r="A145" s="23"/>
      <c r="B145" s="23"/>
      <c r="C145" s="24"/>
      <c r="D145" s="24" t="s">
        <v>268</v>
      </c>
      <c r="E145" s="25" t="s">
        <v>269</v>
      </c>
      <c r="F145" s="10">
        <f>Source!DN109</f>
        <v>75</v>
      </c>
      <c r="G145" s="27"/>
      <c r="H145" s="26"/>
      <c r="I145" s="10"/>
      <c r="J145" s="28">
        <f>SUM(Q143:Q144)</f>
        <v>11.11</v>
      </c>
      <c r="K145" s="10">
        <f>Source!BZ109</f>
        <v>68</v>
      </c>
      <c r="L145" s="28">
        <f>SUM(R143:R144)</f>
        <v>249.95</v>
      </c>
    </row>
    <row r="146" spans="1:27" ht="14.25" x14ac:dyDescent="0.2">
      <c r="A146" s="23"/>
      <c r="B146" s="23"/>
      <c r="C146" s="24"/>
      <c r="D146" s="24" t="s">
        <v>270</v>
      </c>
      <c r="E146" s="25" t="s">
        <v>269</v>
      </c>
      <c r="F146" s="10">
        <f>Source!DO109</f>
        <v>70</v>
      </c>
      <c r="G146" s="27"/>
      <c r="H146" s="26"/>
      <c r="I146" s="10"/>
      <c r="J146" s="28">
        <f>SUM(S143:S145)</f>
        <v>10.37</v>
      </c>
      <c r="K146" s="10">
        <f>Source!CA109</f>
        <v>41</v>
      </c>
      <c r="L146" s="28">
        <f>SUM(T143:T145)</f>
        <v>150.71</v>
      </c>
    </row>
    <row r="147" spans="1:27" ht="28.5" x14ac:dyDescent="0.2">
      <c r="A147" s="23"/>
      <c r="B147" s="23"/>
      <c r="C147" s="24"/>
      <c r="D147" s="24" t="s">
        <v>271</v>
      </c>
      <c r="E147" s="25" t="s">
        <v>272</v>
      </c>
      <c r="F147" s="10">
        <f>Source!AQ109</f>
        <v>0.9</v>
      </c>
      <c r="G147" s="27"/>
      <c r="H147" s="26" t="str">
        <f>Source!DI109</f>
        <v>)*1,3)*0,8</v>
      </c>
      <c r="I147" s="10">
        <f>Source!AV109</f>
        <v>1</v>
      </c>
      <c r="J147" s="28">
        <f>Source!U109</f>
        <v>0.93600000000000017</v>
      </c>
      <c r="K147" s="10"/>
      <c r="L147" s="28"/>
    </row>
    <row r="148" spans="1:27" ht="15" x14ac:dyDescent="0.25">
      <c r="A148" s="31"/>
      <c r="B148" s="31"/>
      <c r="C148" s="31"/>
      <c r="D148" s="31"/>
      <c r="E148" s="31"/>
      <c r="F148" s="31"/>
      <c r="G148" s="31"/>
      <c r="H148" s="31"/>
      <c r="I148" s="58">
        <f>J144+J145+J146</f>
        <v>36.29</v>
      </c>
      <c r="J148" s="58"/>
      <c r="K148" s="58">
        <f>L144+L145+L146</f>
        <v>768.24</v>
      </c>
      <c r="L148" s="58"/>
      <c r="O148" s="30">
        <f>J144+J145+J146</f>
        <v>36.29</v>
      </c>
      <c r="P148" s="30">
        <f>L144+L145+L146</f>
        <v>768.24</v>
      </c>
      <c r="X148">
        <f>IF(Source!BI109&lt;=1,J144+J145+J146-0, 0)</f>
        <v>0</v>
      </c>
      <c r="Y148">
        <f>IF(Source!BI109=2,J144+J145+J146-0, 0)</f>
        <v>0</v>
      </c>
      <c r="Z148">
        <f>IF(Source!BI109=3,J144+J145+J146-0, 0)</f>
        <v>0</v>
      </c>
      <c r="AA148">
        <f>IF(Source!BI109=4,J144+J145+J146,0)</f>
        <v>36.29</v>
      </c>
    </row>
    <row r="149" spans="1:27" ht="156.75" x14ac:dyDescent="0.2">
      <c r="A149" s="23">
        <v>13</v>
      </c>
      <c r="B149" s="23" t="str">
        <f>Source!E110</f>
        <v>12</v>
      </c>
      <c r="C149" s="24" t="str">
        <f>Source!F110</f>
        <v>5.1-162-1</v>
      </c>
      <c r="D149" s="24" t="s">
        <v>238</v>
      </c>
      <c r="E149" s="25" t="str">
        <f>Source!H110</f>
        <v>измерение</v>
      </c>
      <c r="F149" s="10">
        <f>Source!I110</f>
        <v>6</v>
      </c>
      <c r="G149" s="27"/>
      <c r="H149" s="26"/>
      <c r="I149" s="10"/>
      <c r="J149" s="28"/>
      <c r="K149" s="10"/>
      <c r="L149" s="28"/>
      <c r="Q149">
        <f>ROUND((Source!DN110/100)*ROUND((ROUND((Source!AF110*Source!AV110*Source!I110),2)),2), 2)</f>
        <v>26.68</v>
      </c>
      <c r="R149">
        <f>Source!X110</f>
        <v>600.34</v>
      </c>
      <c r="S149">
        <f>ROUND((Source!DO110/100)*ROUND((ROUND((Source!AF110*Source!AV110*Source!I110),2)),2), 2)</f>
        <v>24.9</v>
      </c>
      <c r="T149">
        <f>Source!Y110</f>
        <v>361.97</v>
      </c>
      <c r="U149">
        <f>ROUND((175/100)*ROUND((ROUND((Source!AE110*Source!AV110*Source!I110),2)),2), 2)</f>
        <v>0</v>
      </c>
      <c r="V149">
        <f>ROUND((157/100)*ROUND(ROUND((ROUND((Source!AE110*Source!AV110*Source!I110),2)*Source!BS110),2), 2), 2)</f>
        <v>0</v>
      </c>
    </row>
    <row r="150" spans="1:27" ht="28.5" x14ac:dyDescent="0.2">
      <c r="A150" s="23"/>
      <c r="B150" s="23"/>
      <c r="C150" s="24"/>
      <c r="D150" s="24" t="s">
        <v>267</v>
      </c>
      <c r="E150" s="25"/>
      <c r="F150" s="10"/>
      <c r="G150" s="27">
        <f>Source!AO110</f>
        <v>5.7</v>
      </c>
      <c r="H150" s="26" t="str">
        <f>Source!DG110</f>
        <v>)*1,3)*0,8</v>
      </c>
      <c r="I150" s="10">
        <f>Source!AV110</f>
        <v>1</v>
      </c>
      <c r="J150" s="28">
        <f>ROUND((ROUND((Source!AF110*Source!AV110*Source!I110),2)),2)</f>
        <v>35.57</v>
      </c>
      <c r="K150" s="10">
        <f>IF(Source!BA110&lt;&gt; 0, Source!BA110, 1)</f>
        <v>24.82</v>
      </c>
      <c r="L150" s="28">
        <f>Source!S110</f>
        <v>882.85</v>
      </c>
      <c r="W150">
        <f>J150</f>
        <v>35.57</v>
      </c>
    </row>
    <row r="151" spans="1:27" ht="14.25" x14ac:dyDescent="0.2">
      <c r="A151" s="23"/>
      <c r="B151" s="23"/>
      <c r="C151" s="24"/>
      <c r="D151" s="24" t="s">
        <v>268</v>
      </c>
      <c r="E151" s="25" t="s">
        <v>269</v>
      </c>
      <c r="F151" s="10">
        <f>Source!DN110</f>
        <v>75</v>
      </c>
      <c r="G151" s="27"/>
      <c r="H151" s="26"/>
      <c r="I151" s="10"/>
      <c r="J151" s="28">
        <f>SUM(Q149:Q150)</f>
        <v>26.68</v>
      </c>
      <c r="K151" s="10">
        <f>Source!BZ110</f>
        <v>68</v>
      </c>
      <c r="L151" s="28">
        <f>SUM(R149:R150)</f>
        <v>600.34</v>
      </c>
    </row>
    <row r="152" spans="1:27" ht="14.25" x14ac:dyDescent="0.2">
      <c r="A152" s="23"/>
      <c r="B152" s="23"/>
      <c r="C152" s="24"/>
      <c r="D152" s="24" t="s">
        <v>270</v>
      </c>
      <c r="E152" s="25" t="s">
        <v>269</v>
      </c>
      <c r="F152" s="10">
        <f>Source!DO110</f>
        <v>70</v>
      </c>
      <c r="G152" s="27"/>
      <c r="H152" s="26"/>
      <c r="I152" s="10"/>
      <c r="J152" s="28">
        <f>SUM(S149:S151)</f>
        <v>24.9</v>
      </c>
      <c r="K152" s="10">
        <f>Source!CA110</f>
        <v>41</v>
      </c>
      <c r="L152" s="28">
        <f>SUM(T149:T151)</f>
        <v>361.97</v>
      </c>
    </row>
    <row r="153" spans="1:27" ht="28.5" x14ac:dyDescent="0.2">
      <c r="A153" s="23"/>
      <c r="B153" s="23"/>
      <c r="C153" s="24"/>
      <c r="D153" s="24" t="s">
        <v>271</v>
      </c>
      <c r="E153" s="25" t="s">
        <v>272</v>
      </c>
      <c r="F153" s="10">
        <f>Source!AQ110</f>
        <v>0.36</v>
      </c>
      <c r="G153" s="27"/>
      <c r="H153" s="26" t="str">
        <f>Source!DI110</f>
        <v>)*1,3)*0,8</v>
      </c>
      <c r="I153" s="10">
        <f>Source!AV110</f>
        <v>1</v>
      </c>
      <c r="J153" s="28">
        <f>Source!U110</f>
        <v>2.2464</v>
      </c>
      <c r="K153" s="10"/>
      <c r="L153" s="28"/>
    </row>
    <row r="154" spans="1:27" ht="15" x14ac:dyDescent="0.25">
      <c r="A154" s="31"/>
      <c r="B154" s="31"/>
      <c r="C154" s="31"/>
      <c r="D154" s="31"/>
      <c r="E154" s="31"/>
      <c r="F154" s="31"/>
      <c r="G154" s="31"/>
      <c r="H154" s="31"/>
      <c r="I154" s="58">
        <f>J150+J151+J152</f>
        <v>87.15</v>
      </c>
      <c r="J154" s="58"/>
      <c r="K154" s="58">
        <f>L150+L151+L152</f>
        <v>1845.16</v>
      </c>
      <c r="L154" s="58"/>
      <c r="O154" s="30">
        <f>J150+J151+J152</f>
        <v>87.15</v>
      </c>
      <c r="P154" s="30">
        <f>L150+L151+L152</f>
        <v>1845.16</v>
      </c>
      <c r="X154">
        <f>IF(Source!BI110&lt;=1,J150+J151+J152-0, 0)</f>
        <v>0</v>
      </c>
      <c r="Y154">
        <f>IF(Source!BI110=2,J150+J151+J152-0, 0)</f>
        <v>0</v>
      </c>
      <c r="Z154">
        <f>IF(Source!BI110=3,J150+J151+J152-0, 0)</f>
        <v>0</v>
      </c>
      <c r="AA154">
        <f>IF(Source!BI110=4,J150+J151+J152,0)</f>
        <v>87.15</v>
      </c>
    </row>
    <row r="155" spans="1:27" ht="28.5" x14ac:dyDescent="0.2">
      <c r="A155" s="23">
        <v>14</v>
      </c>
      <c r="B155" s="23" t="str">
        <f>Source!E111</f>
        <v>13</v>
      </c>
      <c r="C155" s="24" t="str">
        <f>Source!F111</f>
        <v>5.1-151-1</v>
      </c>
      <c r="D155" s="24" t="s">
        <v>159</v>
      </c>
      <c r="E155" s="25" t="str">
        <f>Source!H111</f>
        <v>измерение</v>
      </c>
      <c r="F155" s="10">
        <f>Source!I111</f>
        <v>2</v>
      </c>
      <c r="G155" s="27"/>
      <c r="H155" s="26"/>
      <c r="I155" s="10"/>
      <c r="J155" s="28"/>
      <c r="K155" s="10"/>
      <c r="L155" s="28"/>
      <c r="Q155">
        <f>ROUND((Source!DN111/100)*ROUND((ROUND((Source!AF111*Source!AV111*Source!I111),2)),2), 2)</f>
        <v>24.7</v>
      </c>
      <c r="R155">
        <f>Source!X111</f>
        <v>555.78</v>
      </c>
      <c r="S155">
        <f>ROUND((Source!DO111/100)*ROUND((ROUND((Source!AF111*Source!AV111*Source!I111),2)),2), 2)</f>
        <v>23.05</v>
      </c>
      <c r="T155">
        <f>Source!Y111</f>
        <v>335.1</v>
      </c>
      <c r="U155">
        <f>ROUND((175/100)*ROUND((ROUND((Source!AE111*Source!AV111*Source!I111),2)),2), 2)</f>
        <v>0</v>
      </c>
      <c r="V155">
        <f>ROUND((157/100)*ROUND(ROUND((ROUND((Source!AE111*Source!AV111*Source!I111),2)*Source!BS111),2), 2), 2)</f>
        <v>0</v>
      </c>
    </row>
    <row r="156" spans="1:27" ht="28.5" x14ac:dyDescent="0.2">
      <c r="A156" s="23"/>
      <c r="B156" s="23"/>
      <c r="C156" s="24"/>
      <c r="D156" s="24" t="s">
        <v>267</v>
      </c>
      <c r="E156" s="25"/>
      <c r="F156" s="10"/>
      <c r="G156" s="27">
        <f>Source!AO111</f>
        <v>15.83</v>
      </c>
      <c r="H156" s="26" t="str">
        <f>Source!DG111</f>
        <v>)*1,3)*0,8</v>
      </c>
      <c r="I156" s="10">
        <f>Source!AV111</f>
        <v>1</v>
      </c>
      <c r="J156" s="28">
        <f>ROUND((ROUND((Source!AF111*Source!AV111*Source!I111),2)),2)</f>
        <v>32.93</v>
      </c>
      <c r="K156" s="10">
        <f>IF(Source!BA111&lt;&gt; 0, Source!BA111, 1)</f>
        <v>24.82</v>
      </c>
      <c r="L156" s="28">
        <f>Source!S111</f>
        <v>817.32</v>
      </c>
      <c r="W156">
        <f>J156</f>
        <v>32.93</v>
      </c>
    </row>
    <row r="157" spans="1:27" ht="14.25" x14ac:dyDescent="0.2">
      <c r="A157" s="23"/>
      <c r="B157" s="23"/>
      <c r="C157" s="24"/>
      <c r="D157" s="24" t="s">
        <v>268</v>
      </c>
      <c r="E157" s="25" t="s">
        <v>269</v>
      </c>
      <c r="F157" s="10">
        <f>Source!DN111</f>
        <v>75</v>
      </c>
      <c r="G157" s="27"/>
      <c r="H157" s="26"/>
      <c r="I157" s="10"/>
      <c r="J157" s="28">
        <f>SUM(Q155:Q156)</f>
        <v>24.7</v>
      </c>
      <c r="K157" s="10">
        <f>Source!BZ111</f>
        <v>68</v>
      </c>
      <c r="L157" s="28">
        <f>SUM(R155:R156)</f>
        <v>555.78</v>
      </c>
    </row>
    <row r="158" spans="1:27" ht="14.25" x14ac:dyDescent="0.2">
      <c r="A158" s="23"/>
      <c r="B158" s="23"/>
      <c r="C158" s="24"/>
      <c r="D158" s="24" t="s">
        <v>270</v>
      </c>
      <c r="E158" s="25" t="s">
        <v>269</v>
      </c>
      <c r="F158" s="10">
        <f>Source!DO111</f>
        <v>70</v>
      </c>
      <c r="G158" s="27"/>
      <c r="H158" s="26"/>
      <c r="I158" s="10"/>
      <c r="J158" s="28">
        <f>SUM(S155:S157)</f>
        <v>23.05</v>
      </c>
      <c r="K158" s="10">
        <f>Source!CA111</f>
        <v>41</v>
      </c>
      <c r="L158" s="28">
        <f>SUM(T155:T157)</f>
        <v>335.1</v>
      </c>
    </row>
    <row r="159" spans="1:27" ht="28.5" x14ac:dyDescent="0.2">
      <c r="A159" s="23"/>
      <c r="B159" s="23"/>
      <c r="C159" s="24"/>
      <c r="D159" s="24" t="s">
        <v>271</v>
      </c>
      <c r="E159" s="25" t="s">
        <v>272</v>
      </c>
      <c r="F159" s="10">
        <f>Source!AQ111</f>
        <v>1</v>
      </c>
      <c r="G159" s="27"/>
      <c r="H159" s="26" t="str">
        <f>Source!DI111</f>
        <v>)*1,3)*0,8</v>
      </c>
      <c r="I159" s="10">
        <f>Source!AV111</f>
        <v>1</v>
      </c>
      <c r="J159" s="28">
        <f>Source!U111</f>
        <v>2.08</v>
      </c>
      <c r="K159" s="10"/>
      <c r="L159" s="28"/>
    </row>
    <row r="160" spans="1:27" ht="15" x14ac:dyDescent="0.25">
      <c r="A160" s="31"/>
      <c r="B160" s="31"/>
      <c r="C160" s="31"/>
      <c r="D160" s="31"/>
      <c r="E160" s="31"/>
      <c r="F160" s="31"/>
      <c r="G160" s="31"/>
      <c r="H160" s="31"/>
      <c r="I160" s="58">
        <f>J156+J157+J158</f>
        <v>80.679999999999993</v>
      </c>
      <c r="J160" s="58"/>
      <c r="K160" s="58">
        <f>L156+L157+L158</f>
        <v>1708.1999999999998</v>
      </c>
      <c r="L160" s="58"/>
      <c r="O160" s="30">
        <f>J156+J157+J158</f>
        <v>80.679999999999993</v>
      </c>
      <c r="P160" s="30">
        <f>L156+L157+L158</f>
        <v>1708.1999999999998</v>
      </c>
      <c r="X160">
        <f>IF(Source!BI111&lt;=1,J156+J157+J158-0, 0)</f>
        <v>0</v>
      </c>
      <c r="Y160">
        <f>IF(Source!BI111=2,J156+J157+J158-0, 0)</f>
        <v>0</v>
      </c>
      <c r="Z160">
        <f>IF(Source!BI111=3,J156+J157+J158-0, 0)</f>
        <v>0</v>
      </c>
      <c r="AA160">
        <f>IF(Source!BI111=4,J156+J157+J158,0)</f>
        <v>80.679999999999993</v>
      </c>
    </row>
    <row r="161" spans="1:27" ht="42.75" x14ac:dyDescent="0.2">
      <c r="A161" s="23">
        <v>15</v>
      </c>
      <c r="B161" s="23" t="str">
        <f>Source!E112</f>
        <v>14</v>
      </c>
      <c r="C161" s="24" t="str">
        <f>Source!F112</f>
        <v>5.1-152-1</v>
      </c>
      <c r="D161" s="24" t="s">
        <v>163</v>
      </c>
      <c r="E161" s="25" t="str">
        <f>Source!H112</f>
        <v>точка</v>
      </c>
      <c r="F161" s="10">
        <f>Source!I112</f>
        <v>6</v>
      </c>
      <c r="G161" s="27"/>
      <c r="H161" s="26"/>
      <c r="I161" s="10"/>
      <c r="J161" s="28"/>
      <c r="K161" s="10"/>
      <c r="L161" s="28"/>
      <c r="Q161">
        <f>ROUND((Source!DN112/100)*ROUND((ROUND((Source!AF112*Source!AV112*Source!I112),2)),2), 2)</f>
        <v>11.09</v>
      </c>
      <c r="R161">
        <f>Source!X112</f>
        <v>249.62</v>
      </c>
      <c r="S161">
        <f>ROUND((Source!DO112/100)*ROUND((ROUND((Source!AF112*Source!AV112*Source!I112),2)),2), 2)</f>
        <v>10.35</v>
      </c>
      <c r="T161">
        <f>Source!Y112</f>
        <v>150.51</v>
      </c>
      <c r="U161">
        <f>ROUND((175/100)*ROUND((ROUND((Source!AE112*Source!AV112*Source!I112),2)),2), 2)</f>
        <v>0</v>
      </c>
      <c r="V161">
        <f>ROUND((157/100)*ROUND(ROUND((ROUND((Source!AE112*Source!AV112*Source!I112),2)*Source!BS112),2), 2), 2)</f>
        <v>0</v>
      </c>
    </row>
    <row r="162" spans="1:27" ht="28.5" x14ac:dyDescent="0.2">
      <c r="A162" s="23"/>
      <c r="B162" s="23"/>
      <c r="C162" s="24"/>
      <c r="D162" s="24" t="s">
        <v>267</v>
      </c>
      <c r="E162" s="25"/>
      <c r="F162" s="10"/>
      <c r="G162" s="27">
        <f>Source!AO112</f>
        <v>2.37</v>
      </c>
      <c r="H162" s="26" t="str">
        <f>Source!DG112</f>
        <v>)*1,3)*0,8</v>
      </c>
      <c r="I162" s="10">
        <f>Source!AV112</f>
        <v>1</v>
      </c>
      <c r="J162" s="28">
        <f>ROUND((ROUND((Source!AF112*Source!AV112*Source!I112),2)),2)</f>
        <v>14.79</v>
      </c>
      <c r="K162" s="10">
        <f>IF(Source!BA112&lt;&gt; 0, Source!BA112, 1)</f>
        <v>24.82</v>
      </c>
      <c r="L162" s="28">
        <f>Source!S112</f>
        <v>367.09</v>
      </c>
      <c r="W162">
        <f>J162</f>
        <v>14.79</v>
      </c>
    </row>
    <row r="163" spans="1:27" ht="14.25" x14ac:dyDescent="0.2">
      <c r="A163" s="23"/>
      <c r="B163" s="23"/>
      <c r="C163" s="24"/>
      <c r="D163" s="24" t="s">
        <v>268</v>
      </c>
      <c r="E163" s="25" t="s">
        <v>269</v>
      </c>
      <c r="F163" s="10">
        <f>Source!DN112</f>
        <v>75</v>
      </c>
      <c r="G163" s="27"/>
      <c r="H163" s="26"/>
      <c r="I163" s="10"/>
      <c r="J163" s="28">
        <f>SUM(Q161:Q162)</f>
        <v>11.09</v>
      </c>
      <c r="K163" s="10">
        <f>Source!BZ112</f>
        <v>68</v>
      </c>
      <c r="L163" s="28">
        <f>SUM(R161:R162)</f>
        <v>249.62</v>
      </c>
    </row>
    <row r="164" spans="1:27" ht="14.25" x14ac:dyDescent="0.2">
      <c r="A164" s="23"/>
      <c r="B164" s="23"/>
      <c r="C164" s="24"/>
      <c r="D164" s="24" t="s">
        <v>270</v>
      </c>
      <c r="E164" s="25" t="s">
        <v>269</v>
      </c>
      <c r="F164" s="10">
        <f>Source!DO112</f>
        <v>70</v>
      </c>
      <c r="G164" s="27"/>
      <c r="H164" s="26"/>
      <c r="I164" s="10"/>
      <c r="J164" s="28">
        <f>SUM(S161:S163)</f>
        <v>10.35</v>
      </c>
      <c r="K164" s="10">
        <f>Source!CA112</f>
        <v>41</v>
      </c>
      <c r="L164" s="28">
        <f>SUM(T161:T163)</f>
        <v>150.51</v>
      </c>
    </row>
    <row r="165" spans="1:27" ht="28.5" x14ac:dyDescent="0.2">
      <c r="A165" s="23"/>
      <c r="B165" s="23"/>
      <c r="C165" s="24"/>
      <c r="D165" s="24" t="s">
        <v>271</v>
      </c>
      <c r="E165" s="25" t="s">
        <v>272</v>
      </c>
      <c r="F165" s="10">
        <f>Source!AQ112</f>
        <v>0.15</v>
      </c>
      <c r="G165" s="27"/>
      <c r="H165" s="26" t="str">
        <f>Source!DI112</f>
        <v>)*1,3)*0,8</v>
      </c>
      <c r="I165" s="10">
        <f>Source!AV112</f>
        <v>1</v>
      </c>
      <c r="J165" s="28">
        <f>Source!U112</f>
        <v>0.93600000000000017</v>
      </c>
      <c r="K165" s="10"/>
      <c r="L165" s="28"/>
    </row>
    <row r="166" spans="1:27" ht="15" x14ac:dyDescent="0.25">
      <c r="A166" s="31"/>
      <c r="B166" s="31"/>
      <c r="C166" s="31"/>
      <c r="D166" s="31"/>
      <c r="E166" s="31"/>
      <c r="F166" s="31"/>
      <c r="G166" s="31"/>
      <c r="H166" s="31"/>
      <c r="I166" s="58">
        <f>J162+J163+J164</f>
        <v>36.229999999999997</v>
      </c>
      <c r="J166" s="58"/>
      <c r="K166" s="58">
        <f>L162+L163+L164</f>
        <v>767.22</v>
      </c>
      <c r="L166" s="58"/>
      <c r="O166" s="30">
        <f>J162+J163+J164</f>
        <v>36.229999999999997</v>
      </c>
      <c r="P166" s="30">
        <f>L162+L163+L164</f>
        <v>767.22</v>
      </c>
      <c r="X166">
        <f>IF(Source!BI112&lt;=1,J162+J163+J164-0, 0)</f>
        <v>0</v>
      </c>
      <c r="Y166">
        <f>IF(Source!BI112=2,J162+J163+J164-0, 0)</f>
        <v>0</v>
      </c>
      <c r="Z166">
        <f>IF(Source!BI112=3,J162+J163+J164-0, 0)</f>
        <v>0</v>
      </c>
      <c r="AA166">
        <f>IF(Source!BI112=4,J162+J163+J164,0)</f>
        <v>36.229999999999997</v>
      </c>
    </row>
    <row r="167" spans="1:27" ht="42.75" x14ac:dyDescent="0.2">
      <c r="A167" s="23">
        <v>16</v>
      </c>
      <c r="B167" s="23" t="str">
        <f>Source!E113</f>
        <v>15</v>
      </c>
      <c r="C167" s="24" t="str">
        <f>Source!F113</f>
        <v>5.1-154-1</v>
      </c>
      <c r="D167" s="24" t="s">
        <v>168</v>
      </c>
      <c r="E167" s="25" t="str">
        <f>Source!H113</f>
        <v>токоприемник</v>
      </c>
      <c r="F167" s="10">
        <f>Source!I113</f>
        <v>1</v>
      </c>
      <c r="G167" s="27"/>
      <c r="H167" s="26"/>
      <c r="I167" s="10"/>
      <c r="J167" s="28"/>
      <c r="K167" s="10"/>
      <c r="L167" s="28"/>
      <c r="Q167">
        <f>ROUND((Source!DN113/100)*ROUND((ROUND((Source!AF113*Source!AV113*Source!I113),2)),2), 2)</f>
        <v>12.35</v>
      </c>
      <c r="R167">
        <f>Source!X113</f>
        <v>277.81</v>
      </c>
      <c r="S167">
        <f>ROUND((Source!DO113/100)*ROUND((ROUND((Source!AF113*Source!AV113*Source!I113),2)),2), 2)</f>
        <v>11.52</v>
      </c>
      <c r="T167">
        <f>Source!Y113</f>
        <v>167.5</v>
      </c>
      <c r="U167">
        <f>ROUND((175/100)*ROUND((ROUND((Source!AE113*Source!AV113*Source!I113),2)),2), 2)</f>
        <v>0</v>
      </c>
      <c r="V167">
        <f>ROUND((157/100)*ROUND(ROUND((ROUND((Source!AE113*Source!AV113*Source!I113),2)*Source!BS113),2), 2), 2)</f>
        <v>0</v>
      </c>
    </row>
    <row r="168" spans="1:27" ht="28.5" x14ac:dyDescent="0.2">
      <c r="A168" s="23"/>
      <c r="B168" s="23"/>
      <c r="C168" s="24"/>
      <c r="D168" s="24" t="s">
        <v>267</v>
      </c>
      <c r="E168" s="25"/>
      <c r="F168" s="10"/>
      <c r="G168" s="27">
        <f>Source!AO113</f>
        <v>15.83</v>
      </c>
      <c r="H168" s="26" t="str">
        <f>Source!DG113</f>
        <v>)*1,3)*0,8</v>
      </c>
      <c r="I168" s="10">
        <f>Source!AV113</f>
        <v>1</v>
      </c>
      <c r="J168" s="28">
        <f>ROUND((ROUND((Source!AF113*Source!AV113*Source!I113),2)),2)</f>
        <v>16.46</v>
      </c>
      <c r="K168" s="10">
        <f>IF(Source!BA113&lt;&gt; 0, Source!BA113, 1)</f>
        <v>24.82</v>
      </c>
      <c r="L168" s="28">
        <f>Source!S113</f>
        <v>408.54</v>
      </c>
      <c r="W168">
        <f>J168</f>
        <v>16.46</v>
      </c>
    </row>
    <row r="169" spans="1:27" ht="14.25" x14ac:dyDescent="0.2">
      <c r="A169" s="23"/>
      <c r="B169" s="23"/>
      <c r="C169" s="24"/>
      <c r="D169" s="24" t="s">
        <v>268</v>
      </c>
      <c r="E169" s="25" t="s">
        <v>269</v>
      </c>
      <c r="F169" s="10">
        <f>Source!DN113</f>
        <v>75</v>
      </c>
      <c r="G169" s="27"/>
      <c r="H169" s="26"/>
      <c r="I169" s="10"/>
      <c r="J169" s="28">
        <f>SUM(Q167:Q168)</f>
        <v>12.35</v>
      </c>
      <c r="K169" s="10">
        <f>Source!BZ113</f>
        <v>68</v>
      </c>
      <c r="L169" s="28">
        <f>SUM(R167:R168)</f>
        <v>277.81</v>
      </c>
    </row>
    <row r="170" spans="1:27" ht="14.25" x14ac:dyDescent="0.2">
      <c r="A170" s="23"/>
      <c r="B170" s="23"/>
      <c r="C170" s="24"/>
      <c r="D170" s="24" t="s">
        <v>270</v>
      </c>
      <c r="E170" s="25" t="s">
        <v>269</v>
      </c>
      <c r="F170" s="10">
        <f>Source!DO113</f>
        <v>70</v>
      </c>
      <c r="G170" s="27"/>
      <c r="H170" s="26"/>
      <c r="I170" s="10"/>
      <c r="J170" s="28">
        <f>SUM(S167:S169)</f>
        <v>11.52</v>
      </c>
      <c r="K170" s="10">
        <f>Source!CA113</f>
        <v>41</v>
      </c>
      <c r="L170" s="28">
        <f>SUM(T167:T169)</f>
        <v>167.5</v>
      </c>
    </row>
    <row r="171" spans="1:27" ht="28.5" x14ac:dyDescent="0.2">
      <c r="A171" s="23"/>
      <c r="B171" s="23"/>
      <c r="C171" s="24"/>
      <c r="D171" s="24" t="s">
        <v>271</v>
      </c>
      <c r="E171" s="25" t="s">
        <v>272</v>
      </c>
      <c r="F171" s="10">
        <f>Source!AQ113</f>
        <v>1</v>
      </c>
      <c r="G171" s="27"/>
      <c r="H171" s="26" t="str">
        <f>Source!DI113</f>
        <v>)*1,3)*0,8</v>
      </c>
      <c r="I171" s="10">
        <f>Source!AV113</f>
        <v>1</v>
      </c>
      <c r="J171" s="28">
        <f>Source!U113</f>
        <v>1.04</v>
      </c>
      <c r="K171" s="10"/>
      <c r="L171" s="28"/>
    </row>
    <row r="172" spans="1:27" ht="15" x14ac:dyDescent="0.25">
      <c r="A172" s="31"/>
      <c r="B172" s="31"/>
      <c r="C172" s="31"/>
      <c r="D172" s="31"/>
      <c r="E172" s="31"/>
      <c r="F172" s="31"/>
      <c r="G172" s="31"/>
      <c r="H172" s="31"/>
      <c r="I172" s="58">
        <f>J168+J169+J170</f>
        <v>40.33</v>
      </c>
      <c r="J172" s="58"/>
      <c r="K172" s="58">
        <f>L168+L169+L170</f>
        <v>853.85</v>
      </c>
      <c r="L172" s="58"/>
      <c r="O172" s="30">
        <f>J168+J169+J170</f>
        <v>40.33</v>
      </c>
      <c r="P172" s="30">
        <f>L168+L169+L170</f>
        <v>853.85</v>
      </c>
      <c r="X172">
        <f>IF(Source!BI113&lt;=1,J168+J169+J170-0, 0)</f>
        <v>0</v>
      </c>
      <c r="Y172">
        <f>IF(Source!BI113=2,J168+J169+J170-0, 0)</f>
        <v>0</v>
      </c>
      <c r="Z172">
        <f>IF(Source!BI113=3,J168+J169+J170-0, 0)</f>
        <v>0</v>
      </c>
      <c r="AA172">
        <f>IF(Source!BI113=4,J168+J169+J170,0)</f>
        <v>40.33</v>
      </c>
    </row>
    <row r="174" spans="1:27" ht="15" x14ac:dyDescent="0.25">
      <c r="A174" s="56" t="str">
        <f>CONCATENATE("Итого по разделу: ",IF(Source!G115&lt;&gt;"Новый раздел", Source!G115, ""))</f>
        <v>Итого по разделу: Пуско-наладочные работы</v>
      </c>
      <c r="B174" s="56"/>
      <c r="C174" s="56"/>
      <c r="D174" s="56"/>
      <c r="E174" s="56"/>
      <c r="F174" s="56"/>
      <c r="G174" s="56"/>
      <c r="H174" s="56"/>
      <c r="I174" s="54">
        <f>SUM(O142:O173)</f>
        <v>280.68</v>
      </c>
      <c r="J174" s="55"/>
      <c r="K174" s="54">
        <f>SUM(P142:P173)</f>
        <v>5942.670000000001</v>
      </c>
      <c r="L174" s="55"/>
    </row>
    <row r="175" spans="1:27" hidden="1" x14ac:dyDescent="0.2">
      <c r="A175" t="s">
        <v>277</v>
      </c>
      <c r="I175">
        <f>SUM(AC142:AC174)</f>
        <v>0</v>
      </c>
      <c r="K175">
        <f>SUM(AD142:AD174)</f>
        <v>0</v>
      </c>
    </row>
    <row r="176" spans="1:27" hidden="1" x14ac:dyDescent="0.2">
      <c r="A176" t="s">
        <v>278</v>
      </c>
      <c r="I176">
        <f>SUM(AE142:AE175)</f>
        <v>0</v>
      </c>
      <c r="K176">
        <f>SUM(AF142:AF175)</f>
        <v>0</v>
      </c>
    </row>
    <row r="178" spans="1:27" ht="16.5" x14ac:dyDescent="0.25">
      <c r="A178" s="57" t="str">
        <f>CONCATENATE("Раздел: ",IF(Source!G145&lt;&gt;"Новый раздел", Source!G145, ""))</f>
        <v>Раздел: Материалы, не учтенные ценником.</v>
      </c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</row>
    <row r="179" spans="1:27" ht="114" x14ac:dyDescent="0.2">
      <c r="A179" s="23">
        <v>17</v>
      </c>
      <c r="B179" s="23" t="str">
        <f>Source!E149</f>
        <v>16</v>
      </c>
      <c r="C179" s="24" t="str">
        <f>Source!F149</f>
        <v>1.23-7-217</v>
      </c>
      <c r="D179" s="24" t="s">
        <v>174</v>
      </c>
      <c r="E179" s="25" t="str">
        <f>Source!H149</f>
        <v>км</v>
      </c>
      <c r="F179" s="10">
        <f>Source!I149</f>
        <v>6.7500000000000004E-2</v>
      </c>
      <c r="G179" s="27">
        <f>Source!AL149</f>
        <v>99361.96</v>
      </c>
      <c r="H179" s="26" t="str">
        <f>Source!DD149</f>
        <v/>
      </c>
      <c r="I179" s="10">
        <f>Source!AW149</f>
        <v>1</v>
      </c>
      <c r="J179" s="28">
        <f>ROUND((ROUND((Source!AC149*Source!AW149*Source!I149),2)),2)</f>
        <v>6706.93</v>
      </c>
      <c r="K179" s="10">
        <f>IF(Source!BC149&lt;&gt; 0, Source!BC149, 1)</f>
        <v>3.43</v>
      </c>
      <c r="L179" s="28">
        <f>Source!P149</f>
        <v>23004.77</v>
      </c>
      <c r="Q179">
        <f>ROUND((Source!DN149/100)*ROUND((ROUND((Source!AF149*Source!AV149*Source!I149),2)),2), 2)</f>
        <v>0</v>
      </c>
      <c r="R179">
        <f>Source!X149</f>
        <v>0</v>
      </c>
      <c r="S179">
        <f>ROUND((Source!DO149/100)*ROUND((ROUND((Source!AF149*Source!AV149*Source!I149),2)),2), 2)</f>
        <v>0</v>
      </c>
      <c r="T179">
        <f>Source!Y149</f>
        <v>0</v>
      </c>
      <c r="U179">
        <f>ROUND((175/100)*ROUND((ROUND((Source!AE149*Source!AV149*Source!I149),2)),2), 2)</f>
        <v>0</v>
      </c>
      <c r="V179">
        <f>ROUND((157/100)*ROUND(ROUND((ROUND((Source!AE149*Source!AV149*Source!I149),2)*Source!BS149),2), 2), 2)</f>
        <v>0</v>
      </c>
    </row>
    <row r="180" spans="1:27" x14ac:dyDescent="0.2">
      <c r="D180" s="29" t="str">
        <f>"Объем: "&amp;Source!I149&amp;"="&amp;Source!I71&amp;"/"&amp;"10+"&amp;""&amp;Source!I72&amp;"/"&amp;"10"</f>
        <v>Объем: 0,0675=0,663/10+0,012/10</v>
      </c>
    </row>
    <row r="181" spans="1:27" ht="15" x14ac:dyDescent="0.25">
      <c r="A181" s="31"/>
      <c r="B181" s="31"/>
      <c r="C181" s="31"/>
      <c r="D181" s="31"/>
      <c r="E181" s="31"/>
      <c r="F181" s="31"/>
      <c r="G181" s="31"/>
      <c r="H181" s="31"/>
      <c r="I181" s="58">
        <f>J179</f>
        <v>6706.93</v>
      </c>
      <c r="J181" s="58"/>
      <c r="K181" s="58">
        <f>L179</f>
        <v>23004.77</v>
      </c>
      <c r="L181" s="58"/>
      <c r="O181" s="30">
        <f>J179</f>
        <v>6706.93</v>
      </c>
      <c r="P181" s="30">
        <f>L179</f>
        <v>23004.77</v>
      </c>
      <c r="X181">
        <f>IF(Source!BI149&lt;=1,J179-0, 0)</f>
        <v>0</v>
      </c>
      <c r="Y181">
        <f>IF(Source!BI149=2,J179-0, 0)</f>
        <v>6706.93</v>
      </c>
      <c r="Z181">
        <f>IF(Source!BI149=3,J179-0, 0)</f>
        <v>0</v>
      </c>
      <c r="AA181">
        <f>IF(Source!BI149=4,J179,0)</f>
        <v>0</v>
      </c>
    </row>
    <row r="182" spans="1:27" ht="99.75" x14ac:dyDescent="0.2">
      <c r="A182" s="23">
        <v>18</v>
      </c>
      <c r="B182" s="23" t="str">
        <f>Source!E150</f>
        <v>17</v>
      </c>
      <c r="C182" s="24" t="str">
        <f>Source!F150</f>
        <v>1.21-5-281</v>
      </c>
      <c r="D182" s="24" t="s">
        <v>181</v>
      </c>
      <c r="E182" s="25" t="str">
        <f>Source!H150</f>
        <v>компл.</v>
      </c>
      <c r="F182" s="10">
        <f>Source!I150</f>
        <v>2</v>
      </c>
      <c r="G182" s="27">
        <f>Source!AL150</f>
        <v>306.16000000000003</v>
      </c>
      <c r="H182" s="26" t="str">
        <f>Source!DD150</f>
        <v/>
      </c>
      <c r="I182" s="10">
        <f>Source!AW150</f>
        <v>1</v>
      </c>
      <c r="J182" s="28">
        <f>ROUND((ROUND((Source!AC150*Source!AW150*Source!I150),2)),2)</f>
        <v>612.32000000000005</v>
      </c>
      <c r="K182" s="10">
        <f>IF(Source!BC150&lt;&gt; 0, Source!BC150, 1)</f>
        <v>3.02</v>
      </c>
      <c r="L182" s="28">
        <f>Source!P150</f>
        <v>1849.21</v>
      </c>
      <c r="Q182">
        <f>ROUND((Source!DN150/100)*ROUND((ROUND((Source!AF150*Source!AV150*Source!I150),2)),2), 2)</f>
        <v>0</v>
      </c>
      <c r="R182">
        <f>Source!X150</f>
        <v>0</v>
      </c>
      <c r="S182">
        <f>ROUND((Source!DO150/100)*ROUND((ROUND((Source!AF150*Source!AV150*Source!I150),2)),2), 2)</f>
        <v>0</v>
      </c>
      <c r="T182">
        <f>Source!Y150</f>
        <v>0</v>
      </c>
      <c r="U182">
        <f>ROUND((175/100)*ROUND((ROUND((Source!AE150*Source!AV150*Source!I150),2)),2), 2)</f>
        <v>0</v>
      </c>
      <c r="V182">
        <f>ROUND((157/100)*ROUND(ROUND((ROUND((Source!AE150*Source!AV150*Source!I150),2)*Source!BS150),2), 2), 2)</f>
        <v>0</v>
      </c>
    </row>
    <row r="183" spans="1:27" ht="15" x14ac:dyDescent="0.25">
      <c r="A183" s="31"/>
      <c r="B183" s="31"/>
      <c r="C183" s="31"/>
      <c r="D183" s="31"/>
      <c r="E183" s="31"/>
      <c r="F183" s="31"/>
      <c r="G183" s="31"/>
      <c r="H183" s="31"/>
      <c r="I183" s="58">
        <f>J182</f>
        <v>612.32000000000005</v>
      </c>
      <c r="J183" s="58"/>
      <c r="K183" s="58">
        <f>L182</f>
        <v>1849.21</v>
      </c>
      <c r="L183" s="58"/>
      <c r="O183" s="30">
        <f>J182</f>
        <v>612.32000000000005</v>
      </c>
      <c r="P183" s="30">
        <f>L182</f>
        <v>1849.21</v>
      </c>
      <c r="X183">
        <f>IF(Source!BI150&lt;=1,J182-0, 0)</f>
        <v>0</v>
      </c>
      <c r="Y183">
        <f>IF(Source!BI150=2,J182-0, 0)</f>
        <v>612.32000000000005</v>
      </c>
      <c r="Z183">
        <f>IF(Source!BI150=3,J182-0, 0)</f>
        <v>0</v>
      </c>
      <c r="AA183">
        <f>IF(Source!BI150=4,J182,0)</f>
        <v>0</v>
      </c>
    </row>
    <row r="184" spans="1:27" ht="57" x14ac:dyDescent="0.2">
      <c r="A184" s="23">
        <v>19</v>
      </c>
      <c r="B184" s="23" t="str">
        <f>Source!E151</f>
        <v>18</v>
      </c>
      <c r="C184" s="24" t="str">
        <f>Source!F151</f>
        <v>1.1-1-766</v>
      </c>
      <c r="D184" s="24" t="s">
        <v>186</v>
      </c>
      <c r="E184" s="25" t="str">
        <f>Source!H151</f>
        <v>м3</v>
      </c>
      <c r="F184" s="10">
        <f>Source!I151</f>
        <v>8.9700000000000006</v>
      </c>
      <c r="G184" s="27">
        <f>Source!AL151</f>
        <v>104.99</v>
      </c>
      <c r="H184" s="26" t="str">
        <f>Source!DD151</f>
        <v/>
      </c>
      <c r="I184" s="10">
        <f>Source!AW151</f>
        <v>1</v>
      </c>
      <c r="J184" s="28">
        <f>ROUND((ROUND((Source!AC151*Source!AW151*Source!I151),2)),2)</f>
        <v>941.76</v>
      </c>
      <c r="K184" s="10">
        <f>IF(Source!BC151&lt;&gt; 0, Source!BC151, 1)</f>
        <v>5.5</v>
      </c>
      <c r="L184" s="28">
        <f>Source!P151</f>
        <v>5179.68</v>
      </c>
      <c r="Q184">
        <f>ROUND((Source!DN151/100)*ROUND((ROUND((Source!AF151*Source!AV151*Source!I151),2)),2), 2)</f>
        <v>0</v>
      </c>
      <c r="R184">
        <f>Source!X151</f>
        <v>0</v>
      </c>
      <c r="S184">
        <f>ROUND((Source!DO151/100)*ROUND((ROUND((Source!AF151*Source!AV151*Source!I151),2)),2), 2)</f>
        <v>0</v>
      </c>
      <c r="T184">
        <f>Source!Y151</f>
        <v>0</v>
      </c>
      <c r="U184">
        <f>ROUND((175/100)*ROUND((ROUND((Source!AE151*Source!AV151*Source!I151),2)),2), 2)</f>
        <v>0</v>
      </c>
      <c r="V184">
        <f>ROUND((157/100)*ROUND(ROUND((ROUND((Source!AE151*Source!AV151*Source!I151),2)*Source!BS151),2), 2), 2)</f>
        <v>0</v>
      </c>
    </row>
    <row r="185" spans="1:27" x14ac:dyDescent="0.2">
      <c r="D185" s="29" t="str">
        <f>"Объем: "&amp;Source!I151&amp;"=65*"&amp;"0,4*"&amp;"0,3*"&amp;"1,15"</f>
        <v>Объем: 8,97=65*0,4*0,3*1,15</v>
      </c>
    </row>
    <row r="186" spans="1:27" ht="15" x14ac:dyDescent="0.25">
      <c r="A186" s="31"/>
      <c r="B186" s="31"/>
      <c r="C186" s="31"/>
      <c r="D186" s="31"/>
      <c r="E186" s="31"/>
      <c r="F186" s="31"/>
      <c r="G186" s="31"/>
      <c r="H186" s="31"/>
      <c r="I186" s="58">
        <f>J184</f>
        <v>941.76</v>
      </c>
      <c r="J186" s="58"/>
      <c r="K186" s="58">
        <f>L184</f>
        <v>5179.68</v>
      </c>
      <c r="L186" s="58"/>
      <c r="O186" s="30">
        <f>J184</f>
        <v>941.76</v>
      </c>
      <c r="P186" s="30">
        <f>L184</f>
        <v>5179.68</v>
      </c>
      <c r="X186">
        <f>IF(Source!BI151&lt;=1,J184-0, 0)</f>
        <v>941.76</v>
      </c>
      <c r="Y186">
        <f>IF(Source!BI151=2,J184-0, 0)</f>
        <v>0</v>
      </c>
      <c r="Z186">
        <f>IF(Source!BI151=3,J184-0, 0)</f>
        <v>0</v>
      </c>
      <c r="AA186">
        <f>IF(Source!BI151=4,J184,0)</f>
        <v>0</v>
      </c>
    </row>
    <row r="187" spans="1:27" ht="114" x14ac:dyDescent="0.2">
      <c r="A187" s="23">
        <v>20</v>
      </c>
      <c r="B187" s="23" t="str">
        <f>Source!E152</f>
        <v>19</v>
      </c>
      <c r="C187" s="24" t="str">
        <f>Source!F152</f>
        <v>1.12-5-645</v>
      </c>
      <c r="D187" s="24" t="s">
        <v>194</v>
      </c>
      <c r="E187" s="25" t="str">
        <f>Source!H152</f>
        <v>м</v>
      </c>
      <c r="F187" s="10">
        <f>Source!I152</f>
        <v>1.2E-2</v>
      </c>
      <c r="G187" s="27">
        <f>Source!AL152</f>
        <v>267.61</v>
      </c>
      <c r="H187" s="26" t="str">
        <f>Source!DD152</f>
        <v/>
      </c>
      <c r="I187" s="10">
        <f>Source!AW152</f>
        <v>1</v>
      </c>
      <c r="J187" s="28">
        <f>ROUND((ROUND((Source!AC152*Source!AW152*Source!I152),2)),2)</f>
        <v>3.21</v>
      </c>
      <c r="K187" s="10">
        <f>IF(Source!BC152&lt;&gt; 0, Source!BC152, 1)</f>
        <v>1</v>
      </c>
      <c r="L187" s="28">
        <f>Source!P152</f>
        <v>3.21</v>
      </c>
      <c r="Q187">
        <f>ROUND((Source!DN152/100)*ROUND((ROUND((Source!AF152*Source!AV152*Source!I152),2)),2), 2)</f>
        <v>0</v>
      </c>
      <c r="R187">
        <f>Source!X152</f>
        <v>0</v>
      </c>
      <c r="S187">
        <f>ROUND((Source!DO152/100)*ROUND((ROUND((Source!AF152*Source!AV152*Source!I152),2)),2), 2)</f>
        <v>0</v>
      </c>
      <c r="T187">
        <f>Source!Y152</f>
        <v>0</v>
      </c>
      <c r="U187">
        <f>ROUND((175/100)*ROUND((ROUND((Source!AE152*Source!AV152*Source!I152),2)),2), 2)</f>
        <v>0</v>
      </c>
      <c r="V187">
        <f>ROUND((157/100)*ROUND(ROUND((ROUND((Source!AE152*Source!AV152*Source!I152),2)*Source!BS152),2), 2), 2)</f>
        <v>0</v>
      </c>
    </row>
    <row r="188" spans="1:27" ht="15" x14ac:dyDescent="0.25">
      <c r="A188" s="31"/>
      <c r="B188" s="31"/>
      <c r="C188" s="31"/>
      <c r="D188" s="31"/>
      <c r="E188" s="31"/>
      <c r="F188" s="31"/>
      <c r="G188" s="31"/>
      <c r="H188" s="31"/>
      <c r="I188" s="58">
        <f>J187</f>
        <v>3.21</v>
      </c>
      <c r="J188" s="58"/>
      <c r="K188" s="58">
        <f>L187</f>
        <v>3.21</v>
      </c>
      <c r="L188" s="58"/>
      <c r="O188" s="30">
        <f>J187</f>
        <v>3.21</v>
      </c>
      <c r="P188" s="30">
        <f>L187</f>
        <v>3.21</v>
      </c>
      <c r="X188">
        <f>IF(Source!BI152&lt;=1,J187-0, 0)</f>
        <v>3.21</v>
      </c>
      <c r="Y188">
        <f>IF(Source!BI152=2,J187-0, 0)</f>
        <v>0</v>
      </c>
      <c r="Z188">
        <f>IF(Source!BI152=3,J187-0, 0)</f>
        <v>0</v>
      </c>
      <c r="AA188">
        <f>IF(Source!BI152=4,J187,0)</f>
        <v>0</v>
      </c>
    </row>
    <row r="190" spans="1:27" ht="15" x14ac:dyDescent="0.25">
      <c r="A190" s="56" t="str">
        <f>CONCATENATE("Итого по разделу: ",IF(Source!G154&lt;&gt;"Новый раздел", Source!G154, ""))</f>
        <v>Итого по разделу: Материалы, не учтенные ценником.</v>
      </c>
      <c r="B190" s="56"/>
      <c r="C190" s="56"/>
      <c r="D190" s="56"/>
      <c r="E190" s="56"/>
      <c r="F190" s="56"/>
      <c r="G190" s="56"/>
      <c r="H190" s="56"/>
      <c r="I190" s="54">
        <f>SUM(O178:O189)</f>
        <v>8264.2199999999993</v>
      </c>
      <c r="J190" s="55"/>
      <c r="K190" s="54">
        <f>SUM(P178:P189)</f>
        <v>30036.87</v>
      </c>
      <c r="L190" s="55"/>
    </row>
    <row r="191" spans="1:27" hidden="1" x14ac:dyDescent="0.2">
      <c r="A191" t="s">
        <v>277</v>
      </c>
      <c r="I191">
        <f>SUM(AC178:AC190)</f>
        <v>0</v>
      </c>
      <c r="K191">
        <f>SUM(AD178:AD190)</f>
        <v>0</v>
      </c>
    </row>
    <row r="192" spans="1:27" hidden="1" x14ac:dyDescent="0.2">
      <c r="A192" t="s">
        <v>278</v>
      </c>
      <c r="I192">
        <f>SUM(AE178:AE191)</f>
        <v>0</v>
      </c>
      <c r="K192">
        <f>SUM(AF178:AF191)</f>
        <v>0</v>
      </c>
    </row>
    <row r="194" spans="1:38" ht="16.5" x14ac:dyDescent="0.25">
      <c r="A194" s="57" t="str">
        <f>CONCATENATE("Раздел: ",IF(Source!G184&lt;&gt;"Новый раздел", Source!G184, ""))</f>
        <v>Раздел: Прочие затраты.</v>
      </c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</row>
    <row r="195" spans="1:38" ht="42.75" x14ac:dyDescent="0.2">
      <c r="A195" s="23">
        <v>21</v>
      </c>
      <c r="B195" s="23" t="str">
        <f>Source!E188</f>
        <v>20</v>
      </c>
      <c r="C195" s="24" t="str">
        <f>Source!F188</f>
        <v>6.69-19-1</v>
      </c>
      <c r="D195" s="24" t="s">
        <v>200</v>
      </c>
      <c r="E195" s="25" t="str">
        <f>Source!H188</f>
        <v>т</v>
      </c>
      <c r="F195" s="10">
        <f>Source!I188</f>
        <v>0.1</v>
      </c>
      <c r="G195" s="27"/>
      <c r="H195" s="26"/>
      <c r="I195" s="10"/>
      <c r="J195" s="28"/>
      <c r="K195" s="10"/>
      <c r="L195" s="28"/>
      <c r="Q195">
        <f>ROUND((Source!DN188/100)*ROUND((ROUND((Source!AF188*Source!AV188*Source!I188),2)),2), 2)</f>
        <v>1.1000000000000001</v>
      </c>
      <c r="R195">
        <f>Source!X188</f>
        <v>21.92</v>
      </c>
      <c r="S195">
        <f>ROUND((Source!DO188/100)*ROUND((ROUND((Source!AF188*Source!AV188*Source!I188),2)),2), 2)</f>
        <v>0.85</v>
      </c>
      <c r="T195">
        <f>Source!Y188</f>
        <v>12.31</v>
      </c>
      <c r="U195">
        <f>ROUND((175/100)*ROUND((ROUND((Source!AE188*Source!AV188*Source!I188),2)),2), 2)</f>
        <v>0</v>
      </c>
      <c r="V195">
        <f>ROUND((157/100)*ROUND(ROUND((ROUND((Source!AE188*Source!AV188*Source!I188),2)*Source!BS188),2), 2), 2)</f>
        <v>0</v>
      </c>
    </row>
    <row r="196" spans="1:38" ht="14.25" x14ac:dyDescent="0.2">
      <c r="A196" s="23"/>
      <c r="B196" s="23"/>
      <c r="C196" s="24"/>
      <c r="D196" s="24" t="s">
        <v>267</v>
      </c>
      <c r="E196" s="25"/>
      <c r="F196" s="10"/>
      <c r="G196" s="27">
        <f>Source!AO188</f>
        <v>9.6199999999999992</v>
      </c>
      <c r="H196" s="26" t="str">
        <f>Source!DG188</f>
        <v>)*1,2</v>
      </c>
      <c r="I196" s="10">
        <f>Source!AV188</f>
        <v>1.0469999999999999</v>
      </c>
      <c r="J196" s="28">
        <f>ROUND((ROUND((Source!AF188*Source!AV188*Source!I188),2)),2)</f>
        <v>1.21</v>
      </c>
      <c r="K196" s="10">
        <f>IF(Source!BA188&lt;&gt; 0, Source!BA188, 1)</f>
        <v>24.82</v>
      </c>
      <c r="L196" s="28">
        <f>Source!S188</f>
        <v>30.03</v>
      </c>
      <c r="W196">
        <f>J196</f>
        <v>1.21</v>
      </c>
    </row>
    <row r="197" spans="1:38" ht="14.25" x14ac:dyDescent="0.2">
      <c r="A197" s="23"/>
      <c r="B197" s="23"/>
      <c r="C197" s="24"/>
      <c r="D197" s="24" t="s">
        <v>268</v>
      </c>
      <c r="E197" s="25" t="s">
        <v>269</v>
      </c>
      <c r="F197" s="10">
        <f>Source!DN188</f>
        <v>91</v>
      </c>
      <c r="G197" s="27"/>
      <c r="H197" s="26"/>
      <c r="I197" s="10"/>
      <c r="J197" s="28">
        <f>SUM(Q195:Q196)</f>
        <v>1.1000000000000001</v>
      </c>
      <c r="K197" s="10">
        <f>Source!BZ188</f>
        <v>73</v>
      </c>
      <c r="L197" s="28">
        <f>SUM(R195:R196)</f>
        <v>21.92</v>
      </c>
    </row>
    <row r="198" spans="1:38" ht="14.25" x14ac:dyDescent="0.2">
      <c r="A198" s="23"/>
      <c r="B198" s="23"/>
      <c r="C198" s="24"/>
      <c r="D198" s="24" t="s">
        <v>270</v>
      </c>
      <c r="E198" s="25" t="s">
        <v>269</v>
      </c>
      <c r="F198" s="10">
        <f>Source!DO188</f>
        <v>70</v>
      </c>
      <c r="G198" s="27"/>
      <c r="H198" s="26"/>
      <c r="I198" s="10"/>
      <c r="J198" s="28">
        <f>SUM(S195:S197)</f>
        <v>0.85</v>
      </c>
      <c r="K198" s="10">
        <f>Source!CA188</f>
        <v>41</v>
      </c>
      <c r="L198" s="28">
        <f>SUM(T195:T197)</f>
        <v>12.31</v>
      </c>
    </row>
    <row r="199" spans="1:38" ht="14.25" x14ac:dyDescent="0.2">
      <c r="A199" s="23"/>
      <c r="B199" s="23"/>
      <c r="C199" s="24"/>
      <c r="D199" s="24" t="s">
        <v>271</v>
      </c>
      <c r="E199" s="25" t="s">
        <v>272</v>
      </c>
      <c r="F199" s="10">
        <f>Source!AQ188</f>
        <v>1.02</v>
      </c>
      <c r="G199" s="27"/>
      <c r="H199" s="26" t="str">
        <f>Source!DI188</f>
        <v>)*1,2</v>
      </c>
      <c r="I199" s="10">
        <f>Source!AV188</f>
        <v>1.0469999999999999</v>
      </c>
      <c r="J199" s="28">
        <f>Source!U188</f>
        <v>0.12815280000000001</v>
      </c>
      <c r="K199" s="10"/>
      <c r="L199" s="28"/>
    </row>
    <row r="200" spans="1:38" ht="15" x14ac:dyDescent="0.25">
      <c r="A200" s="31"/>
      <c r="B200" s="31"/>
      <c r="C200" s="31"/>
      <c r="D200" s="31"/>
      <c r="E200" s="31"/>
      <c r="F200" s="31"/>
      <c r="G200" s="31"/>
      <c r="H200" s="31"/>
      <c r="I200" s="58">
        <f>J196+J197+J198</f>
        <v>3.16</v>
      </c>
      <c r="J200" s="58"/>
      <c r="K200" s="58">
        <f>L196+L197+L198</f>
        <v>64.260000000000005</v>
      </c>
      <c r="L200" s="58"/>
      <c r="O200" s="30">
        <f>J196+J197+J198</f>
        <v>3.16</v>
      </c>
      <c r="P200" s="30">
        <f>L196+L197+L198</f>
        <v>64.260000000000005</v>
      </c>
      <c r="X200">
        <f>IF(Source!BI188&lt;=1,J196+J197+J198-0, 0)</f>
        <v>3.16</v>
      </c>
      <c r="Y200">
        <f>IF(Source!BI188=2,J196+J197+J198-0, 0)</f>
        <v>0</v>
      </c>
      <c r="Z200">
        <f>IF(Source!BI188=3,J196+J197+J198-0, 0)</f>
        <v>0</v>
      </c>
      <c r="AA200">
        <f>IF(Source!BI188=4,J196+J197+J198,0)</f>
        <v>0</v>
      </c>
    </row>
    <row r="202" spans="1:38" ht="15" x14ac:dyDescent="0.25">
      <c r="A202" s="56" t="str">
        <f>CONCATENATE("Итого по разделу: ",IF(Source!G190&lt;&gt;"Новый раздел", Source!G190, ""))</f>
        <v>Итого по разделу: Прочие затраты.</v>
      </c>
      <c r="B202" s="56"/>
      <c r="C202" s="56"/>
      <c r="D202" s="56"/>
      <c r="E202" s="56"/>
      <c r="F202" s="56"/>
      <c r="G202" s="56"/>
      <c r="H202" s="56"/>
      <c r="I202" s="54">
        <f>SUM(O194:O201)</f>
        <v>3.16</v>
      </c>
      <c r="J202" s="55"/>
      <c r="K202" s="54">
        <f>SUM(P194:P201)</f>
        <v>64.260000000000005</v>
      </c>
      <c r="L202" s="55"/>
    </row>
    <row r="203" spans="1:38" hidden="1" x14ac:dyDescent="0.2">
      <c r="A203" t="s">
        <v>277</v>
      </c>
      <c r="I203">
        <f>SUM(AC194:AC202)</f>
        <v>0</v>
      </c>
      <c r="K203">
        <f>SUM(AD194:AD202)</f>
        <v>0</v>
      </c>
    </row>
    <row r="204" spans="1:38" hidden="1" x14ac:dyDescent="0.2">
      <c r="A204" t="s">
        <v>278</v>
      </c>
      <c r="I204">
        <f>SUM(AE194:AE203)</f>
        <v>0</v>
      </c>
      <c r="K204">
        <f>SUM(AF194:AF203)</f>
        <v>0</v>
      </c>
    </row>
    <row r="206" spans="1:38" ht="15" x14ac:dyDescent="0.25">
      <c r="A206" s="56" t="str">
        <f>CONCATENATE("Итого по локальной смете: ",IF(Source!G220&lt;&gt;"Новая локальная смета", Source!G220, ""))</f>
        <v>Итого по локальной смете: КЛ-0,4 от ул. Центральная, д.6 до ул.Центральная, д.8.</v>
      </c>
      <c r="B206" s="56"/>
      <c r="C206" s="56"/>
      <c r="D206" s="56"/>
      <c r="E206" s="56"/>
      <c r="F206" s="56"/>
      <c r="G206" s="56"/>
      <c r="H206" s="56"/>
      <c r="I206" s="54">
        <f>SUM(O41:O205)</f>
        <v>14876.689999999997</v>
      </c>
      <c r="J206" s="55"/>
      <c r="K206" s="54">
        <f>SUM(P41:P205)</f>
        <v>135537.02000000002</v>
      </c>
      <c r="L206" s="55"/>
      <c r="AL206" s="35" t="str">
        <f>CONCATENATE("Итого по локальной смете: ",IF(Source!G220&lt;&gt;"Новая локальная смета", Source!G220, ""))</f>
        <v>Итого по локальной смете: КЛ-0,4 от ул. Центральная, д.6 до ул.Центральная, д.8.</v>
      </c>
    </row>
    <row r="207" spans="1:38" hidden="1" x14ac:dyDescent="0.2">
      <c r="A207" t="s">
        <v>277</v>
      </c>
      <c r="I207">
        <f>SUM(AC41:AC206)</f>
        <v>0</v>
      </c>
      <c r="K207">
        <f>SUM(AD41:AD206)</f>
        <v>0</v>
      </c>
    </row>
    <row r="208" spans="1:38" hidden="1" x14ac:dyDescent="0.2">
      <c r="A208" t="s">
        <v>278</v>
      </c>
      <c r="I208">
        <f>SUM(AE41:AE207)</f>
        <v>0</v>
      </c>
      <c r="K208">
        <f>SUM(AF41:AF207)</f>
        <v>0</v>
      </c>
    </row>
    <row r="210" spans="1:38" ht="15" x14ac:dyDescent="0.25">
      <c r="A210" s="56" t="str">
        <f>CONCATENATE("Итого по смете: ",IF(Source!G250&lt;&gt;"Новый объект", Source!G250, ""))</f>
        <v>Итого по смете: КЛ-0,4 от ул.Центральная, д.6 до ул.Центральная, д.8.</v>
      </c>
      <c r="B210" s="56"/>
      <c r="C210" s="56"/>
      <c r="D210" s="56"/>
      <c r="E210" s="56"/>
      <c r="F210" s="56"/>
      <c r="G210" s="56"/>
      <c r="H210" s="56"/>
      <c r="I210" s="54">
        <f>SUM(O1:O209)</f>
        <v>14876.689999999997</v>
      </c>
      <c r="J210" s="55"/>
      <c r="K210" s="54">
        <f>SUM(P1:P209)</f>
        <v>135537.02000000002</v>
      </c>
      <c r="L210" s="55"/>
      <c r="AL210" s="35" t="str">
        <f>CONCATENATE("Итого по смете: ",IF(Source!G250&lt;&gt;"Новый объект", Source!G250, ""))</f>
        <v>Итого по смете: КЛ-0,4 от ул.Центральная, д.6 до ул.Центральная, д.8.</v>
      </c>
    </row>
    <row r="211" spans="1:38" hidden="1" x14ac:dyDescent="0.2">
      <c r="A211" t="s">
        <v>277</v>
      </c>
      <c r="I211">
        <f>SUM(AC1:AC210)</f>
        <v>0</v>
      </c>
      <c r="K211">
        <f>SUM(AD1:AD210)</f>
        <v>0</v>
      </c>
    </row>
    <row r="212" spans="1:38" hidden="1" x14ac:dyDescent="0.2">
      <c r="A212" t="s">
        <v>278</v>
      </c>
      <c r="I212">
        <f>SUM(AE1:AE211)</f>
        <v>0</v>
      </c>
      <c r="K212">
        <f>SUM(AF1:AF211)</f>
        <v>0</v>
      </c>
    </row>
    <row r="213" spans="1:38" ht="14.25" x14ac:dyDescent="0.2">
      <c r="D213" s="50" t="str">
        <f>Source!H279</f>
        <v>Итого</v>
      </c>
      <c r="E213" s="50"/>
      <c r="F213" s="50"/>
      <c r="G213" s="50"/>
      <c r="H213" s="50"/>
      <c r="I213" s="50"/>
      <c r="J213" s="50"/>
      <c r="K213" s="51">
        <f>IF(Source!F279=0, "", Source!F279)</f>
        <v>135537.01999999999</v>
      </c>
      <c r="L213" s="51"/>
    </row>
    <row r="214" spans="1:38" ht="14.25" x14ac:dyDescent="0.2">
      <c r="D214" s="50" t="str">
        <f>Source!H280</f>
        <v>НДС 20%</v>
      </c>
      <c r="E214" s="50"/>
      <c r="F214" s="50"/>
      <c r="G214" s="50"/>
      <c r="H214" s="50"/>
      <c r="I214" s="50"/>
      <c r="J214" s="50"/>
      <c r="K214" s="51">
        <f>IF(Source!F280=0, "", Source!F280)</f>
        <v>27107.4</v>
      </c>
      <c r="L214" s="51"/>
    </row>
    <row r="215" spans="1:38" ht="14.25" x14ac:dyDescent="0.2">
      <c r="D215" s="50" t="str">
        <f>Source!H281</f>
        <v>Итого с НДС</v>
      </c>
      <c r="E215" s="50"/>
      <c r="F215" s="50"/>
      <c r="G215" s="50"/>
      <c r="H215" s="50"/>
      <c r="I215" s="50"/>
      <c r="J215" s="50"/>
      <c r="K215" s="51">
        <f>IF(Source!F281=0, "", Source!F281)</f>
        <v>162644.42000000001</v>
      </c>
      <c r="L215" s="51"/>
    </row>
    <row r="218" spans="1:38" ht="14.25" x14ac:dyDescent="0.2">
      <c r="A218" s="11"/>
      <c r="B218" s="52" t="s">
        <v>315</v>
      </c>
      <c r="C218" s="52"/>
      <c r="D218" s="36" t="str">
        <f>IF(Source!AM12&lt;&gt;"", Source!AM12," ")</f>
        <v xml:space="preserve"> </v>
      </c>
      <c r="E218" s="36"/>
      <c r="F218" s="36"/>
      <c r="G218" s="36"/>
      <c r="H218" s="36"/>
      <c r="I218" s="53" t="str">
        <f>IF(Source!AL12&lt;&gt;"", Source!AL12," ")</f>
        <v xml:space="preserve"> </v>
      </c>
      <c r="J218" s="53"/>
      <c r="K218" s="53"/>
    </row>
    <row r="219" spans="1:38" ht="14.25" x14ac:dyDescent="0.2">
      <c r="A219" s="11"/>
      <c r="B219" s="11"/>
      <c r="C219" s="11"/>
      <c r="D219" s="49" t="s">
        <v>281</v>
      </c>
      <c r="E219" s="49"/>
      <c r="F219" s="49"/>
      <c r="G219" s="49"/>
      <c r="H219" s="49"/>
      <c r="I219" s="11"/>
      <c r="J219" s="11"/>
      <c r="K219" s="11"/>
    </row>
    <row r="220" spans="1:38" ht="14.25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</row>
    <row r="221" spans="1:38" ht="14.25" x14ac:dyDescent="0.2">
      <c r="A221" s="11"/>
      <c r="B221" s="52" t="s">
        <v>316</v>
      </c>
      <c r="C221" s="52"/>
      <c r="D221" s="36" t="str">
        <f>IF(Source!AI12&lt;&gt;"", Source!AI12," ")</f>
        <v>Директор</v>
      </c>
      <c r="E221" s="36"/>
      <c r="F221" s="36"/>
      <c r="G221" s="36"/>
      <c r="H221" s="36"/>
      <c r="I221" s="53" t="str">
        <f>IF(Source!AH12&lt;&gt;"", Source!AH12," ")</f>
        <v>А.П. Воробьева</v>
      </c>
      <c r="J221" s="53"/>
      <c r="K221" s="53"/>
    </row>
    <row r="222" spans="1:38" ht="14.25" x14ac:dyDescent="0.2">
      <c r="A222" s="11"/>
      <c r="B222" s="11"/>
      <c r="C222" s="11"/>
      <c r="D222" s="49" t="s">
        <v>281</v>
      </c>
      <c r="E222" s="49"/>
      <c r="F222" s="49"/>
      <c r="G222" s="49"/>
      <c r="H222" s="49"/>
      <c r="I222" s="11"/>
      <c r="J222" s="11"/>
      <c r="K222" s="11"/>
    </row>
  </sheetData>
  <mergeCells count="126">
    <mergeCell ref="I2:L2"/>
    <mergeCell ref="I3:L3"/>
    <mergeCell ref="I4:L4"/>
    <mergeCell ref="J6:L6"/>
    <mergeCell ref="H7:I7"/>
    <mergeCell ref="J7:L7"/>
    <mergeCell ref="C14:H14"/>
    <mergeCell ref="J14:L15"/>
    <mergeCell ref="C15:H15"/>
    <mergeCell ref="C16:H16"/>
    <mergeCell ref="J16:L17"/>
    <mergeCell ref="C17:H17"/>
    <mergeCell ref="J8:L9"/>
    <mergeCell ref="C9:H9"/>
    <mergeCell ref="C10:H10"/>
    <mergeCell ref="J10:L11"/>
    <mergeCell ref="C11:H11"/>
    <mergeCell ref="C12:H12"/>
    <mergeCell ref="J12:L13"/>
    <mergeCell ref="C13:H13"/>
    <mergeCell ref="H22:I22"/>
    <mergeCell ref="J22:L22"/>
    <mergeCell ref="G24:G26"/>
    <mergeCell ref="H24:H26"/>
    <mergeCell ref="I24:J25"/>
    <mergeCell ref="A29:L29"/>
    <mergeCell ref="C18:H18"/>
    <mergeCell ref="G19:I19"/>
    <mergeCell ref="J19:L19"/>
    <mergeCell ref="G20:H20"/>
    <mergeCell ref="J20:L20"/>
    <mergeCell ref="J21:L21"/>
    <mergeCell ref="I34:I39"/>
    <mergeCell ref="J34:J39"/>
    <mergeCell ref="K34:K39"/>
    <mergeCell ref="L34:L39"/>
    <mergeCell ref="A35:A39"/>
    <mergeCell ref="B35:B39"/>
    <mergeCell ref="A30:L30"/>
    <mergeCell ref="H32:I32"/>
    <mergeCell ref="A33:L33"/>
    <mergeCell ref="A34:B34"/>
    <mergeCell ref="C34:C39"/>
    <mergeCell ref="D34:D39"/>
    <mergeCell ref="E34:E39"/>
    <mergeCell ref="F34:F39"/>
    <mergeCell ref="G34:G39"/>
    <mergeCell ref="H34:H39"/>
    <mergeCell ref="A101:H101"/>
    <mergeCell ref="A105:L105"/>
    <mergeCell ref="K72:L72"/>
    <mergeCell ref="I72:J72"/>
    <mergeCell ref="K79:L79"/>
    <mergeCell ref="I79:J79"/>
    <mergeCell ref="K90:L90"/>
    <mergeCell ref="I90:J90"/>
    <mergeCell ref="A42:L42"/>
    <mergeCell ref="K49:L49"/>
    <mergeCell ref="I49:J49"/>
    <mergeCell ref="K55:L55"/>
    <mergeCell ref="I55:J55"/>
    <mergeCell ref="K61:L61"/>
    <mergeCell ref="I61:J61"/>
    <mergeCell ref="K116:L116"/>
    <mergeCell ref="I116:J116"/>
    <mergeCell ref="K126:L126"/>
    <mergeCell ref="I126:J126"/>
    <mergeCell ref="K136:L136"/>
    <mergeCell ref="I136:J136"/>
    <mergeCell ref="K99:L99"/>
    <mergeCell ref="I99:J99"/>
    <mergeCell ref="K101:L101"/>
    <mergeCell ref="I101:J101"/>
    <mergeCell ref="A174:H174"/>
    <mergeCell ref="A178:L178"/>
    <mergeCell ref="K154:L154"/>
    <mergeCell ref="I154:J154"/>
    <mergeCell ref="K160:L160"/>
    <mergeCell ref="I160:J160"/>
    <mergeCell ref="K166:L166"/>
    <mergeCell ref="I166:J166"/>
    <mergeCell ref="K138:L138"/>
    <mergeCell ref="I138:J138"/>
    <mergeCell ref="A138:H138"/>
    <mergeCell ref="A142:L142"/>
    <mergeCell ref="K148:L148"/>
    <mergeCell ref="I148:J148"/>
    <mergeCell ref="K181:L181"/>
    <mergeCell ref="I181:J181"/>
    <mergeCell ref="K183:L183"/>
    <mergeCell ref="I183:J183"/>
    <mergeCell ref="K186:L186"/>
    <mergeCell ref="I186:J186"/>
    <mergeCell ref="K172:L172"/>
    <mergeCell ref="I172:J172"/>
    <mergeCell ref="K174:L174"/>
    <mergeCell ref="I174:J174"/>
    <mergeCell ref="K200:L200"/>
    <mergeCell ref="I200:J200"/>
    <mergeCell ref="K202:L202"/>
    <mergeCell ref="I202:J202"/>
    <mergeCell ref="A202:H202"/>
    <mergeCell ref="K206:L206"/>
    <mergeCell ref="I206:J206"/>
    <mergeCell ref="A206:H206"/>
    <mergeCell ref="K188:L188"/>
    <mergeCell ref="I188:J188"/>
    <mergeCell ref="K190:L190"/>
    <mergeCell ref="I190:J190"/>
    <mergeCell ref="A190:H190"/>
    <mergeCell ref="A194:L194"/>
    <mergeCell ref="D222:H222"/>
    <mergeCell ref="D215:J215"/>
    <mergeCell ref="K215:L215"/>
    <mergeCell ref="B218:C218"/>
    <mergeCell ref="I218:K218"/>
    <mergeCell ref="D219:H219"/>
    <mergeCell ref="B221:C221"/>
    <mergeCell ref="I221:K221"/>
    <mergeCell ref="K210:L210"/>
    <mergeCell ref="I210:J210"/>
    <mergeCell ref="A210:H210"/>
    <mergeCell ref="D213:J213"/>
    <mergeCell ref="K213:L213"/>
    <mergeCell ref="D214:J214"/>
    <mergeCell ref="K214:L214"/>
  </mergeCells>
  <pageMargins left="0.4" right="0.2" top="0.2" bottom="0.4" header="0.2" footer="0.2"/>
  <pageSetup paperSize="9" scale="70" fitToHeight="0" orientation="portrait" horizontalDpi="0" verticalDpi="0" r:id="rId1"/>
  <headerFooter>
    <oddHeader>&amp;L&amp;8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zoomScaleNormal="100" workbookViewId="0">
      <selection sqref="A1:D1"/>
    </sheetView>
  </sheetViews>
  <sheetFormatPr defaultRowHeight="12.75" x14ac:dyDescent="0.2"/>
  <cols>
    <col min="1" max="1" width="5.7109375" customWidth="1"/>
    <col min="2" max="2" width="22.7109375" customWidth="1"/>
    <col min="10" max="11" width="11.140625" customWidth="1"/>
  </cols>
  <sheetData>
    <row r="1" spans="1:12" ht="14.25" x14ac:dyDescent="0.2">
      <c r="A1" s="144" t="str">
        <f>Source!B1</f>
        <v>Smeta.RU  (495) 974-1589</v>
      </c>
      <c r="B1" s="144"/>
      <c r="C1" s="144"/>
      <c r="D1" s="144"/>
      <c r="E1" s="11"/>
      <c r="F1" s="11"/>
      <c r="G1" s="11"/>
      <c r="H1" s="145" t="s">
        <v>317</v>
      </c>
      <c r="I1" s="145"/>
      <c r="J1" s="145"/>
      <c r="K1" s="145"/>
      <c r="L1" s="145"/>
    </row>
    <row r="2" spans="1:12" ht="14.25" x14ac:dyDescent="0.2">
      <c r="A2" s="11"/>
      <c r="B2" s="11"/>
      <c r="C2" s="11"/>
      <c r="D2" s="11"/>
      <c r="E2" s="11"/>
      <c r="F2" s="11"/>
      <c r="G2" s="11"/>
      <c r="H2" s="145" t="s">
        <v>284</v>
      </c>
      <c r="I2" s="145"/>
      <c r="J2" s="145"/>
      <c r="K2" s="145"/>
      <c r="L2" s="145"/>
    </row>
    <row r="3" spans="1:12" ht="14.25" x14ac:dyDescent="0.2">
      <c r="A3" s="11"/>
      <c r="B3" s="11"/>
      <c r="C3" s="11"/>
      <c r="D3" s="11"/>
      <c r="E3" s="11"/>
      <c r="F3" s="11"/>
      <c r="G3" s="11"/>
      <c r="H3" s="145" t="s">
        <v>285</v>
      </c>
      <c r="I3" s="145"/>
      <c r="J3" s="145"/>
      <c r="K3" s="145"/>
      <c r="L3" s="145"/>
    </row>
    <row r="4" spans="1:12" ht="14.25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07" t="s">
        <v>318</v>
      </c>
      <c r="L4" s="109"/>
    </row>
    <row r="5" spans="1:12" ht="14.25" x14ac:dyDescent="0.2">
      <c r="A5" s="11"/>
      <c r="B5" s="11"/>
      <c r="C5" s="11"/>
      <c r="D5" s="11"/>
      <c r="E5" s="11"/>
      <c r="F5" s="11"/>
      <c r="G5" s="11"/>
      <c r="H5" s="11"/>
      <c r="I5" s="68" t="s">
        <v>287</v>
      </c>
      <c r="J5" s="68"/>
      <c r="K5" s="107">
        <v>322001</v>
      </c>
      <c r="L5" s="109"/>
    </row>
    <row r="6" spans="1:12" ht="14.25" x14ac:dyDescent="0.2">
      <c r="A6" s="68" t="s">
        <v>319</v>
      </c>
      <c r="B6" s="68"/>
      <c r="C6" s="141"/>
      <c r="D6" s="141"/>
      <c r="E6" s="141"/>
      <c r="F6" s="141"/>
      <c r="G6" s="141"/>
      <c r="H6" s="141"/>
      <c r="I6" s="141"/>
      <c r="J6" s="10" t="s">
        <v>290</v>
      </c>
      <c r="K6" s="107"/>
      <c r="L6" s="109"/>
    </row>
    <row r="7" spans="1:12" ht="14.25" x14ac:dyDescent="0.2">
      <c r="A7" s="11"/>
      <c r="B7" s="11"/>
      <c r="C7" s="49" t="s">
        <v>291</v>
      </c>
      <c r="D7" s="49"/>
      <c r="E7" s="49"/>
      <c r="F7" s="49"/>
      <c r="G7" s="49"/>
      <c r="H7" s="49"/>
      <c r="I7" s="49"/>
      <c r="J7" s="11"/>
      <c r="K7" s="37"/>
      <c r="L7" s="44"/>
    </row>
    <row r="8" spans="1:12" ht="14.25" x14ac:dyDescent="0.2">
      <c r="A8" s="68" t="s">
        <v>320</v>
      </c>
      <c r="B8" s="68"/>
      <c r="C8" s="141"/>
      <c r="D8" s="141"/>
      <c r="E8" s="141"/>
      <c r="F8" s="141"/>
      <c r="G8" s="141"/>
      <c r="H8" s="141"/>
      <c r="I8" s="36"/>
      <c r="J8" s="10" t="s">
        <v>290</v>
      </c>
      <c r="K8" s="142"/>
      <c r="L8" s="143"/>
    </row>
    <row r="9" spans="1:12" ht="14.25" x14ac:dyDescent="0.2">
      <c r="A9" s="11"/>
      <c r="B9" s="11"/>
      <c r="C9" s="49" t="s">
        <v>291</v>
      </c>
      <c r="D9" s="49"/>
      <c r="E9" s="49"/>
      <c r="F9" s="49"/>
      <c r="G9" s="49"/>
      <c r="H9" s="49"/>
      <c r="I9" s="49"/>
      <c r="J9" s="11"/>
      <c r="K9" s="37"/>
      <c r="L9" s="44"/>
    </row>
    <row r="10" spans="1:12" ht="14.25" x14ac:dyDescent="0.2">
      <c r="A10" s="68" t="s">
        <v>321</v>
      </c>
      <c r="B10" s="68"/>
      <c r="C10" s="141"/>
      <c r="D10" s="141"/>
      <c r="E10" s="141"/>
      <c r="F10" s="141"/>
      <c r="G10" s="141"/>
      <c r="H10" s="141"/>
      <c r="I10" s="141"/>
      <c r="J10" s="10" t="s">
        <v>290</v>
      </c>
      <c r="K10" s="142"/>
      <c r="L10" s="143"/>
    </row>
    <row r="11" spans="1:12" ht="14.25" x14ac:dyDescent="0.2">
      <c r="A11" s="11"/>
      <c r="B11" s="11"/>
      <c r="C11" s="49" t="s">
        <v>291</v>
      </c>
      <c r="D11" s="49"/>
      <c r="E11" s="49"/>
      <c r="F11" s="49"/>
      <c r="G11" s="49"/>
      <c r="H11" s="49"/>
      <c r="I11" s="49"/>
      <c r="J11" s="11"/>
      <c r="K11" s="37"/>
      <c r="L11" s="44"/>
    </row>
    <row r="12" spans="1:12" ht="14.25" x14ac:dyDescent="0.2">
      <c r="A12" s="68" t="s">
        <v>322</v>
      </c>
      <c r="B12" s="68"/>
      <c r="C12" s="141"/>
      <c r="D12" s="141"/>
      <c r="E12" s="141"/>
      <c r="F12" s="141"/>
      <c r="G12" s="141"/>
      <c r="H12" s="141"/>
      <c r="I12" s="141"/>
      <c r="J12" s="10" t="s">
        <v>290</v>
      </c>
      <c r="K12" s="142"/>
      <c r="L12" s="143"/>
    </row>
    <row r="13" spans="1:12" ht="14.25" x14ac:dyDescent="0.2">
      <c r="A13" s="11"/>
      <c r="B13" s="11"/>
      <c r="C13" s="49" t="s">
        <v>295</v>
      </c>
      <c r="D13" s="49"/>
      <c r="E13" s="49"/>
      <c r="F13" s="49"/>
      <c r="G13" s="49"/>
      <c r="H13" s="68" t="s">
        <v>323</v>
      </c>
      <c r="I13" s="68"/>
      <c r="J13" s="78"/>
      <c r="K13" s="107"/>
      <c r="L13" s="109"/>
    </row>
    <row r="14" spans="1:12" ht="14.25" x14ac:dyDescent="0.2">
      <c r="A14" s="11"/>
      <c r="B14" s="11"/>
      <c r="C14" s="11"/>
      <c r="D14" s="11"/>
      <c r="E14" s="68" t="s">
        <v>324</v>
      </c>
      <c r="F14" s="68"/>
      <c r="G14" s="68"/>
      <c r="H14" s="68"/>
      <c r="I14" s="140" t="s">
        <v>300</v>
      </c>
      <c r="J14" s="99"/>
      <c r="K14" s="107"/>
      <c r="L14" s="109"/>
    </row>
    <row r="15" spans="1:12" ht="14.25" x14ac:dyDescent="0.2">
      <c r="A15" s="11"/>
      <c r="B15" s="11"/>
      <c r="C15" s="11"/>
      <c r="D15" s="11"/>
      <c r="E15" s="11"/>
      <c r="F15" s="11"/>
      <c r="G15" s="11"/>
      <c r="H15" s="11"/>
      <c r="I15" s="125" t="s">
        <v>301</v>
      </c>
      <c r="J15" s="126"/>
      <c r="K15" s="127"/>
      <c r="L15" s="128"/>
    </row>
    <row r="16" spans="1:12" ht="14.25" x14ac:dyDescent="0.2">
      <c r="A16" s="11"/>
      <c r="B16" s="11"/>
      <c r="C16" s="11"/>
      <c r="D16" s="11"/>
      <c r="E16" s="11"/>
      <c r="F16" s="11"/>
      <c r="G16" s="11"/>
      <c r="H16" s="11"/>
      <c r="I16" s="99" t="s">
        <v>325</v>
      </c>
      <c r="J16" s="99"/>
      <c r="K16" s="129"/>
      <c r="L16" s="130"/>
    </row>
    <row r="17" spans="1:12" ht="14.25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4.25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4.25" x14ac:dyDescent="0.2">
      <c r="A19" s="11"/>
      <c r="B19" s="11"/>
      <c r="C19" s="131" t="s">
        <v>326</v>
      </c>
      <c r="D19" s="132"/>
      <c r="E19" s="131" t="s">
        <v>327</v>
      </c>
      <c r="F19" s="135"/>
      <c r="G19" s="11"/>
      <c r="H19" s="11"/>
      <c r="I19" s="131" t="s">
        <v>305</v>
      </c>
      <c r="J19" s="132"/>
      <c r="K19" s="132"/>
      <c r="L19" s="135"/>
    </row>
    <row r="20" spans="1:12" ht="14.25" x14ac:dyDescent="0.2">
      <c r="A20" s="11"/>
      <c r="B20" s="11"/>
      <c r="C20" s="133"/>
      <c r="D20" s="134"/>
      <c r="E20" s="133"/>
      <c r="F20" s="136"/>
      <c r="G20" s="11"/>
      <c r="H20" s="11"/>
      <c r="I20" s="137" t="s">
        <v>306</v>
      </c>
      <c r="J20" s="138"/>
      <c r="K20" s="137" t="s">
        <v>307</v>
      </c>
      <c r="L20" s="139"/>
    </row>
    <row r="21" spans="1:12" ht="14.25" x14ac:dyDescent="0.2">
      <c r="A21" s="11"/>
      <c r="B21" s="11"/>
      <c r="C21" s="120"/>
      <c r="D21" s="121"/>
      <c r="E21" s="122"/>
      <c r="F21" s="123"/>
      <c r="G21" s="45"/>
      <c r="H21" s="45"/>
      <c r="I21" s="122"/>
      <c r="J21" s="124"/>
      <c r="K21" s="122"/>
      <c r="L21" s="123"/>
    </row>
    <row r="22" spans="1:12" ht="14.25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4.25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8" x14ac:dyDescent="0.25">
      <c r="A24" s="76" t="s">
        <v>328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</row>
    <row r="25" spans="1:12" ht="18" x14ac:dyDescent="0.25">
      <c r="A25" s="76" t="s">
        <v>329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</row>
    <row r="26" spans="1:12" ht="14.25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4.25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4.25" x14ac:dyDescent="0.2">
      <c r="A28" s="114" t="s">
        <v>330</v>
      </c>
      <c r="B28" s="114" t="s">
        <v>331</v>
      </c>
      <c r="C28" s="116"/>
      <c r="D28" s="116"/>
      <c r="E28" s="116"/>
      <c r="F28" s="114" t="s">
        <v>286</v>
      </c>
      <c r="G28" s="114" t="s">
        <v>332</v>
      </c>
      <c r="H28" s="116"/>
      <c r="I28" s="116"/>
      <c r="J28" s="116"/>
      <c r="K28" s="116"/>
      <c r="L28" s="118"/>
    </row>
    <row r="29" spans="1:12" x14ac:dyDescent="0.2">
      <c r="A29" s="115"/>
      <c r="B29" s="115"/>
      <c r="C29" s="117"/>
      <c r="D29" s="117"/>
      <c r="E29" s="117"/>
      <c r="F29" s="115"/>
      <c r="G29" s="114" t="s">
        <v>333</v>
      </c>
      <c r="H29" s="116"/>
      <c r="I29" s="114" t="s">
        <v>334</v>
      </c>
      <c r="J29" s="116"/>
      <c r="K29" s="114" t="s">
        <v>335</v>
      </c>
      <c r="L29" s="118"/>
    </row>
    <row r="30" spans="1:12" x14ac:dyDescent="0.2">
      <c r="A30" s="115"/>
      <c r="B30" s="115"/>
      <c r="C30" s="117"/>
      <c r="D30" s="117"/>
      <c r="E30" s="117"/>
      <c r="F30" s="115"/>
      <c r="G30" s="115"/>
      <c r="H30" s="117"/>
      <c r="I30" s="115"/>
      <c r="J30" s="117"/>
      <c r="K30" s="115"/>
      <c r="L30" s="119"/>
    </row>
    <row r="31" spans="1:12" x14ac:dyDescent="0.2">
      <c r="A31" s="115"/>
      <c r="B31" s="115"/>
      <c r="C31" s="117"/>
      <c r="D31" s="117"/>
      <c r="E31" s="117"/>
      <c r="F31" s="115"/>
      <c r="G31" s="115"/>
      <c r="H31" s="117"/>
      <c r="I31" s="115"/>
      <c r="J31" s="117"/>
      <c r="K31" s="115"/>
      <c r="L31" s="119"/>
    </row>
    <row r="32" spans="1:12" x14ac:dyDescent="0.2">
      <c r="A32" s="115"/>
      <c r="B32" s="115"/>
      <c r="C32" s="117"/>
      <c r="D32" s="117"/>
      <c r="E32" s="117"/>
      <c r="F32" s="115"/>
      <c r="G32" s="115"/>
      <c r="H32" s="117"/>
      <c r="I32" s="115"/>
      <c r="J32" s="117"/>
      <c r="K32" s="115"/>
      <c r="L32" s="119"/>
    </row>
    <row r="33" spans="1:12" ht="14.25" x14ac:dyDescent="0.2">
      <c r="A33" s="37">
        <v>1</v>
      </c>
      <c r="B33" s="107">
        <v>2</v>
      </c>
      <c r="C33" s="108"/>
      <c r="D33" s="108"/>
      <c r="E33" s="108"/>
      <c r="F33" s="37">
        <v>3</v>
      </c>
      <c r="G33" s="107">
        <v>4</v>
      </c>
      <c r="H33" s="108"/>
      <c r="I33" s="107">
        <v>5</v>
      </c>
      <c r="J33" s="108"/>
      <c r="K33" s="107">
        <v>6</v>
      </c>
      <c r="L33" s="109"/>
    </row>
    <row r="34" spans="1:12" ht="14.25" x14ac:dyDescent="0.2">
      <c r="A34" s="46"/>
      <c r="B34" s="110" t="s">
        <v>336</v>
      </c>
      <c r="C34" s="97"/>
      <c r="D34" s="97"/>
      <c r="E34" s="97"/>
      <c r="F34" s="47"/>
      <c r="G34" s="111"/>
      <c r="H34" s="112"/>
      <c r="I34" s="111"/>
      <c r="J34" s="112"/>
      <c r="K34" s="111"/>
      <c r="L34" s="113"/>
    </row>
    <row r="35" spans="1:12" ht="14.25" x14ac:dyDescent="0.2">
      <c r="A35" s="48"/>
      <c r="B35" s="95" t="s">
        <v>337</v>
      </c>
      <c r="C35" s="96"/>
      <c r="D35" s="96"/>
      <c r="E35" s="96"/>
      <c r="F35" s="96"/>
      <c r="G35" s="96"/>
      <c r="H35" s="96"/>
      <c r="I35" s="96"/>
      <c r="J35" s="96"/>
      <c r="K35" s="97"/>
      <c r="L35" s="98"/>
    </row>
    <row r="36" spans="1:12" ht="14.25" x14ac:dyDescent="0.2">
      <c r="A36" s="99" t="s">
        <v>208</v>
      </c>
      <c r="B36" s="99"/>
      <c r="C36" s="99"/>
      <c r="D36" s="99"/>
      <c r="E36" s="99"/>
      <c r="F36" s="99"/>
      <c r="G36" s="99"/>
      <c r="H36" s="99"/>
      <c r="I36" s="99"/>
      <c r="J36" s="100"/>
      <c r="K36" s="101"/>
      <c r="L36" s="100"/>
    </row>
    <row r="37" spans="1:12" ht="14.25" x14ac:dyDescent="0.2">
      <c r="A37" s="102" t="s">
        <v>338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3"/>
      <c r="L37" s="104"/>
    </row>
    <row r="38" spans="1:12" ht="14.25" x14ac:dyDescent="0.2">
      <c r="A38" s="102" t="s">
        <v>339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5"/>
      <c r="L38" s="106"/>
    </row>
    <row r="39" spans="1:12" ht="14.25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2" spans="1:12" ht="14.25" x14ac:dyDescent="0.2">
      <c r="A42" s="92" t="s">
        <v>320</v>
      </c>
      <c r="B42" s="92"/>
      <c r="C42" s="93"/>
      <c r="D42" s="93"/>
      <c r="E42" s="93"/>
      <c r="F42" s="11"/>
      <c r="G42" s="93"/>
      <c r="H42" s="93"/>
      <c r="I42" s="11"/>
      <c r="J42" s="93"/>
      <c r="K42" s="93"/>
      <c r="L42" s="93"/>
    </row>
    <row r="43" spans="1:12" ht="14.25" x14ac:dyDescent="0.2">
      <c r="A43" s="11"/>
      <c r="B43" s="11"/>
      <c r="C43" s="94" t="s">
        <v>340</v>
      </c>
      <c r="D43" s="94"/>
      <c r="E43" s="94"/>
      <c r="F43" s="11"/>
      <c r="G43" s="94" t="s">
        <v>341</v>
      </c>
      <c r="H43" s="94"/>
      <c r="I43" s="11"/>
      <c r="J43" s="94" t="s">
        <v>342</v>
      </c>
      <c r="K43" s="94"/>
      <c r="L43" s="94"/>
    </row>
    <row r="44" spans="1:12" ht="14.25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4.25" x14ac:dyDescent="0.2">
      <c r="A45" s="10" t="s">
        <v>343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4.25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4.25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4.25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4.25" x14ac:dyDescent="0.2">
      <c r="A49" s="92" t="s">
        <v>321</v>
      </c>
      <c r="B49" s="92"/>
      <c r="C49" s="93"/>
      <c r="D49" s="93"/>
      <c r="E49" s="93"/>
      <c r="F49" s="11"/>
      <c r="G49" s="93"/>
      <c r="H49" s="93"/>
      <c r="I49" s="11"/>
      <c r="J49" s="93"/>
      <c r="K49" s="93"/>
      <c r="L49" s="93"/>
    </row>
    <row r="50" spans="1:12" ht="14.25" x14ac:dyDescent="0.2">
      <c r="A50" s="11"/>
      <c r="B50" s="11"/>
      <c r="C50" s="94" t="s">
        <v>340</v>
      </c>
      <c r="D50" s="94"/>
      <c r="E50" s="94"/>
      <c r="F50" s="11"/>
      <c r="G50" s="94" t="s">
        <v>341</v>
      </c>
      <c r="H50" s="94"/>
      <c r="I50" s="11"/>
      <c r="J50" s="94" t="s">
        <v>342</v>
      </c>
      <c r="K50" s="94"/>
      <c r="L50" s="94"/>
    </row>
    <row r="51" spans="1:12" ht="14.25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4.25" x14ac:dyDescent="0.2">
      <c r="A52" s="10" t="s">
        <v>343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</sheetData>
  <mergeCells count="79">
    <mergeCell ref="I5:J5"/>
    <mergeCell ref="K5:L5"/>
    <mergeCell ref="A1:D1"/>
    <mergeCell ref="H1:L1"/>
    <mergeCell ref="H2:L2"/>
    <mergeCell ref="H3:L3"/>
    <mergeCell ref="K4:L4"/>
    <mergeCell ref="A12:B12"/>
    <mergeCell ref="C12:I12"/>
    <mergeCell ref="K12:L12"/>
    <mergeCell ref="A6:B6"/>
    <mergeCell ref="C6:I6"/>
    <mergeCell ref="K6:L6"/>
    <mergeCell ref="C7:I7"/>
    <mergeCell ref="A8:B8"/>
    <mergeCell ref="C8:H8"/>
    <mergeCell ref="K8:L8"/>
    <mergeCell ref="C9:I9"/>
    <mergeCell ref="A10:B10"/>
    <mergeCell ref="C10:I10"/>
    <mergeCell ref="K10:L10"/>
    <mergeCell ref="C11:I11"/>
    <mergeCell ref="C13:G13"/>
    <mergeCell ref="H13:J13"/>
    <mergeCell ref="K13:L13"/>
    <mergeCell ref="E14:H14"/>
    <mergeCell ref="I14:J14"/>
    <mergeCell ref="K14:L14"/>
    <mergeCell ref="A25:L25"/>
    <mergeCell ref="I15:J15"/>
    <mergeCell ref="K15:L15"/>
    <mergeCell ref="I16:J16"/>
    <mergeCell ref="K16:L16"/>
    <mergeCell ref="C19:D20"/>
    <mergeCell ref="E19:F20"/>
    <mergeCell ref="I19:L19"/>
    <mergeCell ref="I20:J20"/>
    <mergeCell ref="K20:L20"/>
    <mergeCell ref="C21:D21"/>
    <mergeCell ref="E21:F21"/>
    <mergeCell ref="I21:J21"/>
    <mergeCell ref="K21:L21"/>
    <mergeCell ref="A24:L24"/>
    <mergeCell ref="A28:A32"/>
    <mergeCell ref="B28:E32"/>
    <mergeCell ref="F28:F32"/>
    <mergeCell ref="G28:L28"/>
    <mergeCell ref="G29:H32"/>
    <mergeCell ref="I29:J32"/>
    <mergeCell ref="K29:L32"/>
    <mergeCell ref="A38:J38"/>
    <mergeCell ref="K38:L38"/>
    <mergeCell ref="B33:E33"/>
    <mergeCell ref="G33:H33"/>
    <mergeCell ref="I33:J33"/>
    <mergeCell ref="K33:L33"/>
    <mergeCell ref="B34:E34"/>
    <mergeCell ref="G34:H34"/>
    <mergeCell ref="I34:J34"/>
    <mergeCell ref="K34:L34"/>
    <mergeCell ref="B35:L35"/>
    <mergeCell ref="A36:J36"/>
    <mergeCell ref="K36:L36"/>
    <mergeCell ref="A37:J37"/>
    <mergeCell ref="K37:L37"/>
    <mergeCell ref="A42:B42"/>
    <mergeCell ref="C42:E42"/>
    <mergeCell ref="G42:H42"/>
    <mergeCell ref="J42:L42"/>
    <mergeCell ref="C43:E43"/>
    <mergeCell ref="G43:H43"/>
    <mergeCell ref="J43:L43"/>
    <mergeCell ref="A49:B49"/>
    <mergeCell ref="C49:E49"/>
    <mergeCell ref="G49:H49"/>
    <mergeCell ref="J49:L49"/>
    <mergeCell ref="C50:E50"/>
    <mergeCell ref="G50:H50"/>
    <mergeCell ref="J50:L50"/>
  </mergeCells>
  <pageMargins left="0.4" right="0.2" top="0.2" bottom="0.4" header="0.2" footer="0.2"/>
  <pageSetup paperSize="9" scale="80" fitToHeight="0" orientation="portrait" horizontalDpi="0" verticalDpi="0" r:id="rId1"/>
  <headerFooter>
    <oddHeader>&amp;L&amp;8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291"/>
  <sheetViews>
    <sheetView workbookViewId="0">
      <selection activeCell="H32" sqref="H32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20546</v>
      </c>
      <c r="M1">
        <v>10</v>
      </c>
      <c r="N1">
        <v>11</v>
      </c>
      <c r="O1">
        <v>3</v>
      </c>
      <c r="P1">
        <v>0</v>
      </c>
      <c r="Q1">
        <v>0</v>
      </c>
    </row>
    <row r="12" spans="1:133" x14ac:dyDescent="0.2">
      <c r="A12" s="1">
        <v>1</v>
      </c>
      <c r="B12" s="1">
        <v>286</v>
      </c>
      <c r="C12" s="1">
        <v>0</v>
      </c>
      <c r="D12" s="1">
        <f>ROW(A250)</f>
        <v>250</v>
      </c>
      <c r="E12" s="1">
        <v>0</v>
      </c>
      <c r="F12" s="1" t="s">
        <v>344</v>
      </c>
      <c r="G12" s="1" t="s">
        <v>344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2</v>
      </c>
      <c r="N12" s="1"/>
      <c r="O12" s="1">
        <v>0</v>
      </c>
      <c r="P12" s="1">
        <v>0</v>
      </c>
      <c r="Q12" s="1">
        <v>2</v>
      </c>
      <c r="R12" s="1">
        <v>157</v>
      </c>
      <c r="S12" s="1"/>
      <c r="T12" s="1">
        <v>1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9</v>
      </c>
      <c r="AG12" s="1" t="s">
        <v>10</v>
      </c>
      <c r="AH12" s="1" t="s">
        <v>9</v>
      </c>
      <c r="AI12" s="1" t="s">
        <v>10</v>
      </c>
      <c r="AJ12" s="1" t="s">
        <v>11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12</v>
      </c>
      <c r="AY12" s="1" t="s">
        <v>3</v>
      </c>
      <c r="AZ12" s="1" t="s">
        <v>3</v>
      </c>
      <c r="BA12" s="1"/>
      <c r="BB12" s="1">
        <v>0</v>
      </c>
      <c r="BC12" s="1"/>
      <c r="BD12" s="1"/>
      <c r="BE12" s="1"/>
      <c r="BF12" s="1"/>
      <c r="BG12" s="1"/>
      <c r="BH12" s="1" t="s">
        <v>13</v>
      </c>
      <c r="BI12" s="1" t="s">
        <v>14</v>
      </c>
      <c r="BJ12" s="1">
        <v>1</v>
      </c>
      <c r="BK12" s="1">
        <v>1</v>
      </c>
      <c r="BL12" s="1">
        <v>0</v>
      </c>
      <c r="BM12" s="1">
        <v>1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15</v>
      </c>
      <c r="BZ12" s="1" t="s">
        <v>16</v>
      </c>
      <c r="CA12" s="1" t="s">
        <v>17</v>
      </c>
      <c r="CB12" s="1" t="s">
        <v>17</v>
      </c>
      <c r="CC12" s="1" t="s">
        <v>17</v>
      </c>
      <c r="CD12" s="1" t="s">
        <v>17</v>
      </c>
      <c r="CE12" s="1" t="s">
        <v>18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>
        <v>57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45" x14ac:dyDescent="0.2">
      <c r="A18" s="2">
        <v>52</v>
      </c>
      <c r="B18" s="2">
        <f t="shared" ref="B18:G18" si="0">B250</f>
        <v>286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КЛ-0,4 от ул.Центральная, д.6 до ул.Центральная, д.8.</v>
      </c>
      <c r="G18" s="2" t="str">
        <f t="shared" si="0"/>
        <v>КЛ-0,4 от ул.Центральная, д.6 до ул.Центральная, д.8.</v>
      </c>
      <c r="H18" s="2"/>
      <c r="I18" s="2"/>
      <c r="J18" s="2"/>
      <c r="K18" s="2"/>
      <c r="L18" s="2"/>
      <c r="M18" s="2"/>
      <c r="N18" s="2"/>
      <c r="O18" s="2">
        <f t="shared" ref="O18:AT18" si="1">O250</f>
        <v>83786.720000000001</v>
      </c>
      <c r="P18" s="2">
        <f t="shared" si="1"/>
        <v>38369.800000000003</v>
      </c>
      <c r="Q18" s="2">
        <f t="shared" si="1"/>
        <v>10434.129999999999</v>
      </c>
      <c r="R18" s="2">
        <f t="shared" si="1"/>
        <v>7231.06</v>
      </c>
      <c r="S18" s="2">
        <f t="shared" si="1"/>
        <v>34982.79</v>
      </c>
      <c r="T18" s="2">
        <f t="shared" si="1"/>
        <v>0</v>
      </c>
      <c r="U18" s="2">
        <f t="shared" si="1"/>
        <v>126.47149428</v>
      </c>
      <c r="V18" s="2">
        <f t="shared" si="1"/>
        <v>0</v>
      </c>
      <c r="W18" s="2">
        <f t="shared" si="1"/>
        <v>0</v>
      </c>
      <c r="X18" s="2">
        <f t="shared" si="1"/>
        <v>25975.64</v>
      </c>
      <c r="Y18" s="2">
        <f t="shared" si="1"/>
        <v>14421.88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135537.01999999999</v>
      </c>
      <c r="AS18" s="2">
        <f t="shared" si="1"/>
        <v>67157.440000000002</v>
      </c>
      <c r="AT18" s="2">
        <f t="shared" si="1"/>
        <v>62436.91</v>
      </c>
      <c r="AU18" s="2">
        <f t="shared" ref="AU18:BZ18" si="2">AU250</f>
        <v>5942.67</v>
      </c>
      <c r="AV18" s="2">
        <f t="shared" si="2"/>
        <v>38369.800000000003</v>
      </c>
      <c r="AW18" s="2">
        <f t="shared" si="2"/>
        <v>38369.800000000003</v>
      </c>
      <c r="AX18" s="2">
        <f t="shared" si="2"/>
        <v>0</v>
      </c>
      <c r="AY18" s="2">
        <f t="shared" si="2"/>
        <v>38369.800000000003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2">
        <f t="shared" si="2"/>
        <v>0</v>
      </c>
      <c r="BP18" s="2">
        <f t="shared" si="2"/>
        <v>0</v>
      </c>
      <c r="BQ18" s="2">
        <f t="shared" si="2"/>
        <v>0</v>
      </c>
      <c r="BR18" s="2">
        <f t="shared" si="2"/>
        <v>0</v>
      </c>
      <c r="BS18" s="2">
        <f t="shared" si="2"/>
        <v>0</v>
      </c>
      <c r="BT18" s="2">
        <f t="shared" si="2"/>
        <v>0</v>
      </c>
      <c r="BU18" s="2">
        <f t="shared" si="2"/>
        <v>0</v>
      </c>
      <c r="BV18" s="2">
        <f t="shared" si="2"/>
        <v>0</v>
      </c>
      <c r="BW18" s="2">
        <f t="shared" si="2"/>
        <v>0</v>
      </c>
      <c r="BX18" s="2">
        <f t="shared" si="2"/>
        <v>0</v>
      </c>
      <c r="BY18" s="2">
        <f t="shared" si="2"/>
        <v>0</v>
      </c>
      <c r="BZ18" s="2">
        <f t="shared" si="2"/>
        <v>0</v>
      </c>
      <c r="CA18" s="2">
        <f t="shared" ref="CA18:DF18" si="3">CA250</f>
        <v>0</v>
      </c>
      <c r="CB18" s="2">
        <f t="shared" si="3"/>
        <v>0</v>
      </c>
      <c r="CC18" s="2">
        <f t="shared" si="3"/>
        <v>0</v>
      </c>
      <c r="CD18" s="2">
        <f t="shared" si="3"/>
        <v>0</v>
      </c>
      <c r="CE18" s="2">
        <f t="shared" si="3"/>
        <v>0</v>
      </c>
      <c r="CF18" s="2">
        <f t="shared" si="3"/>
        <v>0</v>
      </c>
      <c r="CG18" s="2">
        <f t="shared" si="3"/>
        <v>0</v>
      </c>
      <c r="CH18" s="2">
        <f t="shared" si="3"/>
        <v>0</v>
      </c>
      <c r="CI18" s="2">
        <f t="shared" si="3"/>
        <v>0</v>
      </c>
      <c r="CJ18" s="2">
        <f t="shared" si="3"/>
        <v>0</v>
      </c>
      <c r="CK18" s="2">
        <f t="shared" si="3"/>
        <v>0</v>
      </c>
      <c r="CL18" s="2">
        <f t="shared" si="3"/>
        <v>0</v>
      </c>
      <c r="CM18" s="2">
        <f t="shared" si="3"/>
        <v>0</v>
      </c>
      <c r="CN18" s="2">
        <f t="shared" si="3"/>
        <v>0</v>
      </c>
      <c r="CO18" s="2">
        <f t="shared" si="3"/>
        <v>0</v>
      </c>
      <c r="CP18" s="2">
        <f t="shared" si="3"/>
        <v>0</v>
      </c>
      <c r="CQ18" s="2">
        <f t="shared" si="3"/>
        <v>0</v>
      </c>
      <c r="CR18" s="2">
        <f t="shared" si="3"/>
        <v>0</v>
      </c>
      <c r="CS18" s="2">
        <f t="shared" si="3"/>
        <v>0</v>
      </c>
      <c r="CT18" s="2">
        <f t="shared" si="3"/>
        <v>0</v>
      </c>
      <c r="CU18" s="2">
        <f t="shared" si="3"/>
        <v>0</v>
      </c>
      <c r="CV18" s="2">
        <f t="shared" si="3"/>
        <v>0</v>
      </c>
      <c r="CW18" s="2">
        <f t="shared" si="3"/>
        <v>0</v>
      </c>
      <c r="CX18" s="2">
        <f t="shared" si="3"/>
        <v>0</v>
      </c>
      <c r="CY18" s="2">
        <f t="shared" si="3"/>
        <v>0</v>
      </c>
      <c r="CZ18" s="2">
        <f t="shared" si="3"/>
        <v>0</v>
      </c>
      <c r="DA18" s="2">
        <f t="shared" si="3"/>
        <v>0</v>
      </c>
      <c r="DB18" s="2">
        <f t="shared" si="3"/>
        <v>0</v>
      </c>
      <c r="DC18" s="2">
        <f t="shared" si="3"/>
        <v>0</v>
      </c>
      <c r="DD18" s="2">
        <f t="shared" si="3"/>
        <v>0</v>
      </c>
      <c r="DE18" s="2">
        <f t="shared" si="3"/>
        <v>0</v>
      </c>
      <c r="DF18" s="2">
        <f t="shared" si="3"/>
        <v>0</v>
      </c>
      <c r="DG18" s="3">
        <f t="shared" ref="DG18:EL18" si="4">DG250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  <c r="DO18" s="3">
        <f t="shared" si="4"/>
        <v>0</v>
      </c>
      <c r="DP18" s="3">
        <f t="shared" si="4"/>
        <v>0</v>
      </c>
      <c r="DQ18" s="3">
        <f t="shared" si="4"/>
        <v>0</v>
      </c>
      <c r="DR18" s="3">
        <f t="shared" si="4"/>
        <v>0</v>
      </c>
      <c r="DS18" s="3">
        <f t="shared" si="4"/>
        <v>0</v>
      </c>
      <c r="DT18" s="3">
        <f t="shared" si="4"/>
        <v>0</v>
      </c>
      <c r="DU18" s="3">
        <f t="shared" si="4"/>
        <v>0</v>
      </c>
      <c r="DV18" s="3">
        <f t="shared" si="4"/>
        <v>0</v>
      </c>
      <c r="DW18" s="3">
        <f t="shared" si="4"/>
        <v>0</v>
      </c>
      <c r="DX18" s="3">
        <f t="shared" si="4"/>
        <v>0</v>
      </c>
      <c r="DY18" s="3">
        <f t="shared" si="4"/>
        <v>0</v>
      </c>
      <c r="DZ18" s="3">
        <f t="shared" si="4"/>
        <v>0</v>
      </c>
      <c r="EA18" s="3">
        <f t="shared" si="4"/>
        <v>0</v>
      </c>
      <c r="EB18" s="3">
        <f t="shared" si="4"/>
        <v>0</v>
      </c>
      <c r="EC18" s="3">
        <f t="shared" si="4"/>
        <v>0</v>
      </c>
      <c r="ED18" s="3">
        <f t="shared" si="4"/>
        <v>0</v>
      </c>
      <c r="EE18" s="3">
        <f t="shared" si="4"/>
        <v>0</v>
      </c>
      <c r="EF18" s="3">
        <f t="shared" si="4"/>
        <v>0</v>
      </c>
      <c r="EG18" s="3">
        <f t="shared" si="4"/>
        <v>0</v>
      </c>
      <c r="EH18" s="3">
        <f t="shared" si="4"/>
        <v>0</v>
      </c>
      <c r="EI18" s="3">
        <f t="shared" si="4"/>
        <v>0</v>
      </c>
      <c r="EJ18" s="3">
        <f t="shared" si="4"/>
        <v>0</v>
      </c>
      <c r="EK18" s="3">
        <f t="shared" si="4"/>
        <v>0</v>
      </c>
      <c r="EL18" s="3">
        <f t="shared" si="4"/>
        <v>0</v>
      </c>
      <c r="EM18" s="3">
        <f t="shared" ref="EM18:FR18" si="5">EM250</f>
        <v>0</v>
      </c>
      <c r="EN18" s="3">
        <f t="shared" si="5"/>
        <v>0</v>
      </c>
      <c r="EO18" s="3">
        <f t="shared" si="5"/>
        <v>0</v>
      </c>
      <c r="EP18" s="3">
        <f t="shared" si="5"/>
        <v>0</v>
      </c>
      <c r="EQ18" s="3">
        <f t="shared" si="5"/>
        <v>0</v>
      </c>
      <c r="ER18" s="3">
        <f t="shared" si="5"/>
        <v>0</v>
      </c>
      <c r="ES18" s="3">
        <f t="shared" si="5"/>
        <v>0</v>
      </c>
      <c r="ET18" s="3">
        <f t="shared" si="5"/>
        <v>0</v>
      </c>
      <c r="EU18" s="3">
        <f t="shared" si="5"/>
        <v>0</v>
      </c>
      <c r="EV18" s="3">
        <f t="shared" si="5"/>
        <v>0</v>
      </c>
      <c r="EW18" s="3">
        <f t="shared" si="5"/>
        <v>0</v>
      </c>
      <c r="EX18" s="3">
        <f t="shared" si="5"/>
        <v>0</v>
      </c>
      <c r="EY18" s="3">
        <f t="shared" si="5"/>
        <v>0</v>
      </c>
      <c r="EZ18" s="3">
        <f t="shared" si="5"/>
        <v>0</v>
      </c>
      <c r="FA18" s="3">
        <f t="shared" si="5"/>
        <v>0</v>
      </c>
      <c r="FB18" s="3">
        <f t="shared" si="5"/>
        <v>0</v>
      </c>
      <c r="FC18" s="3">
        <f t="shared" si="5"/>
        <v>0</v>
      </c>
      <c r="FD18" s="3">
        <f t="shared" si="5"/>
        <v>0</v>
      </c>
      <c r="FE18" s="3">
        <f t="shared" si="5"/>
        <v>0</v>
      </c>
      <c r="FF18" s="3">
        <f t="shared" si="5"/>
        <v>0</v>
      </c>
      <c r="FG18" s="3">
        <f t="shared" si="5"/>
        <v>0</v>
      </c>
      <c r="FH18" s="3">
        <f t="shared" si="5"/>
        <v>0</v>
      </c>
      <c r="FI18" s="3">
        <f t="shared" si="5"/>
        <v>0</v>
      </c>
      <c r="FJ18" s="3">
        <f t="shared" si="5"/>
        <v>0</v>
      </c>
      <c r="FK18" s="3">
        <f t="shared" si="5"/>
        <v>0</v>
      </c>
      <c r="FL18" s="3">
        <f t="shared" si="5"/>
        <v>0</v>
      </c>
      <c r="FM18" s="3">
        <f t="shared" si="5"/>
        <v>0</v>
      </c>
      <c r="FN18" s="3">
        <f t="shared" si="5"/>
        <v>0</v>
      </c>
      <c r="FO18" s="3">
        <f t="shared" si="5"/>
        <v>0</v>
      </c>
      <c r="FP18" s="3">
        <f t="shared" si="5"/>
        <v>0</v>
      </c>
      <c r="FQ18" s="3">
        <f t="shared" si="5"/>
        <v>0</v>
      </c>
      <c r="FR18" s="3">
        <f t="shared" si="5"/>
        <v>0</v>
      </c>
      <c r="FS18" s="3">
        <f t="shared" ref="FS18:GX18" si="6">FS250</f>
        <v>0</v>
      </c>
      <c r="FT18" s="3">
        <f t="shared" si="6"/>
        <v>0</v>
      </c>
      <c r="FU18" s="3">
        <f t="shared" si="6"/>
        <v>0</v>
      </c>
      <c r="FV18" s="3">
        <f t="shared" si="6"/>
        <v>0</v>
      </c>
      <c r="FW18" s="3">
        <f t="shared" si="6"/>
        <v>0</v>
      </c>
      <c r="FX18" s="3">
        <f t="shared" si="6"/>
        <v>0</v>
      </c>
      <c r="FY18" s="3">
        <f t="shared" si="6"/>
        <v>0</v>
      </c>
      <c r="FZ18" s="3">
        <f t="shared" si="6"/>
        <v>0</v>
      </c>
      <c r="GA18" s="3">
        <f t="shared" si="6"/>
        <v>0</v>
      </c>
      <c r="GB18" s="3">
        <f t="shared" si="6"/>
        <v>0</v>
      </c>
      <c r="GC18" s="3">
        <f t="shared" si="6"/>
        <v>0</v>
      </c>
      <c r="GD18" s="3">
        <f t="shared" si="6"/>
        <v>0</v>
      </c>
      <c r="GE18" s="3">
        <f t="shared" si="6"/>
        <v>0</v>
      </c>
      <c r="GF18" s="3">
        <f t="shared" si="6"/>
        <v>0</v>
      </c>
      <c r="GG18" s="3">
        <f t="shared" si="6"/>
        <v>0</v>
      </c>
      <c r="GH18" s="3">
        <f t="shared" si="6"/>
        <v>0</v>
      </c>
      <c r="GI18" s="3">
        <f t="shared" si="6"/>
        <v>0</v>
      </c>
      <c r="GJ18" s="3">
        <f t="shared" si="6"/>
        <v>0</v>
      </c>
      <c r="GK18" s="3">
        <f t="shared" si="6"/>
        <v>0</v>
      </c>
      <c r="GL18" s="3">
        <f t="shared" si="6"/>
        <v>0</v>
      </c>
      <c r="GM18" s="3">
        <f t="shared" si="6"/>
        <v>0</v>
      </c>
      <c r="GN18" s="3">
        <f t="shared" si="6"/>
        <v>0</v>
      </c>
      <c r="GO18" s="3">
        <f t="shared" si="6"/>
        <v>0</v>
      </c>
      <c r="GP18" s="3">
        <f t="shared" si="6"/>
        <v>0</v>
      </c>
      <c r="GQ18" s="3">
        <f t="shared" si="6"/>
        <v>0</v>
      </c>
      <c r="GR18" s="3">
        <f t="shared" si="6"/>
        <v>0</v>
      </c>
      <c r="GS18" s="3">
        <f t="shared" si="6"/>
        <v>0</v>
      </c>
      <c r="GT18" s="3">
        <f t="shared" si="6"/>
        <v>0</v>
      </c>
      <c r="GU18" s="3">
        <f t="shared" si="6"/>
        <v>0</v>
      </c>
      <c r="GV18" s="3">
        <f t="shared" si="6"/>
        <v>0</v>
      </c>
      <c r="GW18" s="3">
        <f t="shared" si="6"/>
        <v>0</v>
      </c>
      <c r="GX18" s="3">
        <f t="shared" si="6"/>
        <v>0</v>
      </c>
    </row>
    <row r="20" spans="1:245" x14ac:dyDescent="0.2">
      <c r="A20" s="1">
        <v>3</v>
      </c>
      <c r="B20" s="1">
        <v>1</v>
      </c>
      <c r="C20" s="1"/>
      <c r="D20" s="1">
        <f>ROW(A220)</f>
        <v>220</v>
      </c>
      <c r="E20" s="1"/>
      <c r="F20" s="1" t="s">
        <v>19</v>
      </c>
      <c r="G20" s="1" t="s">
        <v>20</v>
      </c>
      <c r="H20" s="1" t="s">
        <v>3</v>
      </c>
      <c r="I20" s="1">
        <v>0</v>
      </c>
      <c r="J20" s="1" t="s">
        <v>3</v>
      </c>
      <c r="K20" s="1">
        <v>-1</v>
      </c>
      <c r="L20" s="1" t="s">
        <v>3</v>
      </c>
      <c r="M20" s="1" t="s">
        <v>3</v>
      </c>
      <c r="N20" s="1"/>
      <c r="O20" s="1"/>
      <c r="P20" s="1"/>
      <c r="Q20" s="1"/>
      <c r="R20" s="1"/>
      <c r="S20" s="1">
        <v>0</v>
      </c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  <c r="CK20" t="s">
        <v>3</v>
      </c>
      <c r="CL20" t="s">
        <v>3</v>
      </c>
      <c r="CM20" t="s">
        <v>3</v>
      </c>
      <c r="CN20" t="s">
        <v>3</v>
      </c>
      <c r="CO20" t="s">
        <v>3</v>
      </c>
      <c r="CP20" t="s">
        <v>3</v>
      </c>
      <c r="CQ20" t="s">
        <v>3</v>
      </c>
    </row>
    <row r="22" spans="1:245" x14ac:dyDescent="0.2">
      <c r="A22" s="2">
        <v>52</v>
      </c>
      <c r="B22" s="2">
        <f t="shared" ref="B22:G22" si="7">B220</f>
        <v>1</v>
      </c>
      <c r="C22" s="2">
        <f t="shared" si="7"/>
        <v>3</v>
      </c>
      <c r="D22" s="2">
        <f t="shared" si="7"/>
        <v>20</v>
      </c>
      <c r="E22" s="2">
        <f t="shared" si="7"/>
        <v>0</v>
      </c>
      <c r="F22" s="2" t="str">
        <f t="shared" si="7"/>
        <v>Новая локальная смета</v>
      </c>
      <c r="G22" s="2" t="str">
        <f t="shared" si="7"/>
        <v>КЛ-0,4 от ул. Центральная, д.6 до ул.Центральная, д.8.</v>
      </c>
      <c r="H22" s="2"/>
      <c r="I22" s="2"/>
      <c r="J22" s="2"/>
      <c r="K22" s="2"/>
      <c r="L22" s="2"/>
      <c r="M22" s="2"/>
      <c r="N22" s="2"/>
      <c r="O22" s="2">
        <f t="shared" ref="O22:AT22" si="8">O220</f>
        <v>83786.720000000001</v>
      </c>
      <c r="P22" s="2">
        <f t="shared" si="8"/>
        <v>38369.800000000003</v>
      </c>
      <c r="Q22" s="2">
        <f t="shared" si="8"/>
        <v>10434.129999999999</v>
      </c>
      <c r="R22" s="2">
        <f t="shared" si="8"/>
        <v>7231.06</v>
      </c>
      <c r="S22" s="2">
        <f t="shared" si="8"/>
        <v>34982.79</v>
      </c>
      <c r="T22" s="2">
        <f t="shared" si="8"/>
        <v>0</v>
      </c>
      <c r="U22" s="2">
        <f t="shared" si="8"/>
        <v>126.47149428</v>
      </c>
      <c r="V22" s="2">
        <f t="shared" si="8"/>
        <v>0</v>
      </c>
      <c r="W22" s="2">
        <f t="shared" si="8"/>
        <v>0</v>
      </c>
      <c r="X22" s="2">
        <f t="shared" si="8"/>
        <v>25975.64</v>
      </c>
      <c r="Y22" s="2">
        <f t="shared" si="8"/>
        <v>14421.88</v>
      </c>
      <c r="Z22" s="2">
        <f t="shared" si="8"/>
        <v>0</v>
      </c>
      <c r="AA22" s="2">
        <f t="shared" si="8"/>
        <v>0</v>
      </c>
      <c r="AB22" s="2">
        <f t="shared" si="8"/>
        <v>0</v>
      </c>
      <c r="AC22" s="2">
        <f t="shared" si="8"/>
        <v>0</v>
      </c>
      <c r="AD22" s="2">
        <f t="shared" si="8"/>
        <v>0</v>
      </c>
      <c r="AE22" s="2">
        <f t="shared" si="8"/>
        <v>0</v>
      </c>
      <c r="AF22" s="2">
        <f t="shared" si="8"/>
        <v>0</v>
      </c>
      <c r="AG22" s="2">
        <f t="shared" si="8"/>
        <v>0</v>
      </c>
      <c r="AH22" s="2">
        <f t="shared" si="8"/>
        <v>0</v>
      </c>
      <c r="AI22" s="2">
        <f t="shared" si="8"/>
        <v>0</v>
      </c>
      <c r="AJ22" s="2">
        <f t="shared" si="8"/>
        <v>0</v>
      </c>
      <c r="AK22" s="2">
        <f t="shared" si="8"/>
        <v>0</v>
      </c>
      <c r="AL22" s="2">
        <f t="shared" si="8"/>
        <v>0</v>
      </c>
      <c r="AM22" s="2">
        <f t="shared" si="8"/>
        <v>0</v>
      </c>
      <c r="AN22" s="2">
        <f t="shared" si="8"/>
        <v>0</v>
      </c>
      <c r="AO22" s="2">
        <f t="shared" si="8"/>
        <v>0</v>
      </c>
      <c r="AP22" s="2">
        <f t="shared" si="8"/>
        <v>0</v>
      </c>
      <c r="AQ22" s="2">
        <f t="shared" si="8"/>
        <v>0</v>
      </c>
      <c r="AR22" s="2">
        <f t="shared" si="8"/>
        <v>135537.01999999999</v>
      </c>
      <c r="AS22" s="2">
        <f t="shared" si="8"/>
        <v>67157.440000000002</v>
      </c>
      <c r="AT22" s="2">
        <f t="shared" si="8"/>
        <v>62436.91</v>
      </c>
      <c r="AU22" s="2">
        <f t="shared" ref="AU22:BZ22" si="9">AU220</f>
        <v>5942.67</v>
      </c>
      <c r="AV22" s="2">
        <f t="shared" si="9"/>
        <v>38369.800000000003</v>
      </c>
      <c r="AW22" s="2">
        <f t="shared" si="9"/>
        <v>38369.800000000003</v>
      </c>
      <c r="AX22" s="2">
        <f t="shared" si="9"/>
        <v>0</v>
      </c>
      <c r="AY22" s="2">
        <f t="shared" si="9"/>
        <v>38369.800000000003</v>
      </c>
      <c r="AZ22" s="2">
        <f t="shared" si="9"/>
        <v>0</v>
      </c>
      <c r="BA22" s="2">
        <f t="shared" si="9"/>
        <v>0</v>
      </c>
      <c r="BB22" s="2">
        <f t="shared" si="9"/>
        <v>0</v>
      </c>
      <c r="BC22" s="2">
        <f t="shared" si="9"/>
        <v>0</v>
      </c>
      <c r="BD22" s="2">
        <f t="shared" si="9"/>
        <v>0</v>
      </c>
      <c r="BE22" s="2">
        <f t="shared" si="9"/>
        <v>0</v>
      </c>
      <c r="BF22" s="2">
        <f t="shared" si="9"/>
        <v>0</v>
      </c>
      <c r="BG22" s="2">
        <f t="shared" si="9"/>
        <v>0</v>
      </c>
      <c r="BH22" s="2">
        <f t="shared" si="9"/>
        <v>0</v>
      </c>
      <c r="BI22" s="2">
        <f t="shared" si="9"/>
        <v>0</v>
      </c>
      <c r="BJ22" s="2">
        <f t="shared" si="9"/>
        <v>0</v>
      </c>
      <c r="BK22" s="2">
        <f t="shared" si="9"/>
        <v>0</v>
      </c>
      <c r="BL22" s="2">
        <f t="shared" si="9"/>
        <v>0</v>
      </c>
      <c r="BM22" s="2">
        <f t="shared" si="9"/>
        <v>0</v>
      </c>
      <c r="BN22" s="2">
        <f t="shared" si="9"/>
        <v>0</v>
      </c>
      <c r="BO22" s="2">
        <f t="shared" si="9"/>
        <v>0</v>
      </c>
      <c r="BP22" s="2">
        <f t="shared" si="9"/>
        <v>0</v>
      </c>
      <c r="BQ22" s="2">
        <f t="shared" si="9"/>
        <v>0</v>
      </c>
      <c r="BR22" s="2">
        <f t="shared" si="9"/>
        <v>0</v>
      </c>
      <c r="BS22" s="2">
        <f t="shared" si="9"/>
        <v>0</v>
      </c>
      <c r="BT22" s="2">
        <f t="shared" si="9"/>
        <v>0</v>
      </c>
      <c r="BU22" s="2">
        <f t="shared" si="9"/>
        <v>0</v>
      </c>
      <c r="BV22" s="2">
        <f t="shared" si="9"/>
        <v>0</v>
      </c>
      <c r="BW22" s="2">
        <f t="shared" si="9"/>
        <v>0</v>
      </c>
      <c r="BX22" s="2">
        <f t="shared" si="9"/>
        <v>0</v>
      </c>
      <c r="BY22" s="2">
        <f t="shared" si="9"/>
        <v>0</v>
      </c>
      <c r="BZ22" s="2">
        <f t="shared" si="9"/>
        <v>0</v>
      </c>
      <c r="CA22" s="2">
        <f t="shared" ref="CA22:DF22" si="10">CA220</f>
        <v>0</v>
      </c>
      <c r="CB22" s="2">
        <f t="shared" si="10"/>
        <v>0</v>
      </c>
      <c r="CC22" s="2">
        <f t="shared" si="10"/>
        <v>0</v>
      </c>
      <c r="CD22" s="2">
        <f t="shared" si="10"/>
        <v>0</v>
      </c>
      <c r="CE22" s="2">
        <f t="shared" si="10"/>
        <v>0</v>
      </c>
      <c r="CF22" s="2">
        <f t="shared" si="10"/>
        <v>0</v>
      </c>
      <c r="CG22" s="2">
        <f t="shared" si="10"/>
        <v>0</v>
      </c>
      <c r="CH22" s="2">
        <f t="shared" si="10"/>
        <v>0</v>
      </c>
      <c r="CI22" s="2">
        <f t="shared" si="10"/>
        <v>0</v>
      </c>
      <c r="CJ22" s="2">
        <f t="shared" si="10"/>
        <v>0</v>
      </c>
      <c r="CK22" s="2">
        <f t="shared" si="10"/>
        <v>0</v>
      </c>
      <c r="CL22" s="2">
        <f t="shared" si="10"/>
        <v>0</v>
      </c>
      <c r="CM22" s="2">
        <f t="shared" si="10"/>
        <v>0</v>
      </c>
      <c r="CN22" s="2">
        <f t="shared" si="10"/>
        <v>0</v>
      </c>
      <c r="CO22" s="2">
        <f t="shared" si="10"/>
        <v>0</v>
      </c>
      <c r="CP22" s="2">
        <f t="shared" si="10"/>
        <v>0</v>
      </c>
      <c r="CQ22" s="2">
        <f t="shared" si="10"/>
        <v>0</v>
      </c>
      <c r="CR22" s="2">
        <f t="shared" si="10"/>
        <v>0</v>
      </c>
      <c r="CS22" s="2">
        <f t="shared" si="10"/>
        <v>0</v>
      </c>
      <c r="CT22" s="2">
        <f t="shared" si="10"/>
        <v>0</v>
      </c>
      <c r="CU22" s="2">
        <f t="shared" si="10"/>
        <v>0</v>
      </c>
      <c r="CV22" s="2">
        <f t="shared" si="10"/>
        <v>0</v>
      </c>
      <c r="CW22" s="2">
        <f t="shared" si="10"/>
        <v>0</v>
      </c>
      <c r="CX22" s="2">
        <f t="shared" si="10"/>
        <v>0</v>
      </c>
      <c r="CY22" s="2">
        <f t="shared" si="10"/>
        <v>0</v>
      </c>
      <c r="CZ22" s="2">
        <f t="shared" si="10"/>
        <v>0</v>
      </c>
      <c r="DA22" s="2">
        <f t="shared" si="10"/>
        <v>0</v>
      </c>
      <c r="DB22" s="2">
        <f t="shared" si="10"/>
        <v>0</v>
      </c>
      <c r="DC22" s="2">
        <f t="shared" si="10"/>
        <v>0</v>
      </c>
      <c r="DD22" s="2">
        <f t="shared" si="10"/>
        <v>0</v>
      </c>
      <c r="DE22" s="2">
        <f t="shared" si="10"/>
        <v>0</v>
      </c>
      <c r="DF22" s="2">
        <f t="shared" si="10"/>
        <v>0</v>
      </c>
      <c r="DG22" s="3">
        <f t="shared" ref="DG22:EL22" si="11">DG220</f>
        <v>0</v>
      </c>
      <c r="DH22" s="3">
        <f t="shared" si="11"/>
        <v>0</v>
      </c>
      <c r="DI22" s="3">
        <f t="shared" si="11"/>
        <v>0</v>
      </c>
      <c r="DJ22" s="3">
        <f t="shared" si="11"/>
        <v>0</v>
      </c>
      <c r="DK22" s="3">
        <f t="shared" si="11"/>
        <v>0</v>
      </c>
      <c r="DL22" s="3">
        <f t="shared" si="11"/>
        <v>0</v>
      </c>
      <c r="DM22" s="3">
        <f t="shared" si="11"/>
        <v>0</v>
      </c>
      <c r="DN22" s="3">
        <f t="shared" si="11"/>
        <v>0</v>
      </c>
      <c r="DO22" s="3">
        <f t="shared" si="11"/>
        <v>0</v>
      </c>
      <c r="DP22" s="3">
        <f t="shared" si="11"/>
        <v>0</v>
      </c>
      <c r="DQ22" s="3">
        <f t="shared" si="11"/>
        <v>0</v>
      </c>
      <c r="DR22" s="3">
        <f t="shared" si="11"/>
        <v>0</v>
      </c>
      <c r="DS22" s="3">
        <f t="shared" si="11"/>
        <v>0</v>
      </c>
      <c r="DT22" s="3">
        <f t="shared" si="11"/>
        <v>0</v>
      </c>
      <c r="DU22" s="3">
        <f t="shared" si="11"/>
        <v>0</v>
      </c>
      <c r="DV22" s="3">
        <f t="shared" si="11"/>
        <v>0</v>
      </c>
      <c r="DW22" s="3">
        <f t="shared" si="11"/>
        <v>0</v>
      </c>
      <c r="DX22" s="3">
        <f t="shared" si="11"/>
        <v>0</v>
      </c>
      <c r="DY22" s="3">
        <f t="shared" si="11"/>
        <v>0</v>
      </c>
      <c r="DZ22" s="3">
        <f t="shared" si="11"/>
        <v>0</v>
      </c>
      <c r="EA22" s="3">
        <f t="shared" si="11"/>
        <v>0</v>
      </c>
      <c r="EB22" s="3">
        <f t="shared" si="11"/>
        <v>0</v>
      </c>
      <c r="EC22" s="3">
        <f t="shared" si="11"/>
        <v>0</v>
      </c>
      <c r="ED22" s="3">
        <f t="shared" si="11"/>
        <v>0</v>
      </c>
      <c r="EE22" s="3">
        <f t="shared" si="11"/>
        <v>0</v>
      </c>
      <c r="EF22" s="3">
        <f t="shared" si="11"/>
        <v>0</v>
      </c>
      <c r="EG22" s="3">
        <f t="shared" si="11"/>
        <v>0</v>
      </c>
      <c r="EH22" s="3">
        <f t="shared" si="11"/>
        <v>0</v>
      </c>
      <c r="EI22" s="3">
        <f t="shared" si="11"/>
        <v>0</v>
      </c>
      <c r="EJ22" s="3">
        <f t="shared" si="11"/>
        <v>0</v>
      </c>
      <c r="EK22" s="3">
        <f t="shared" si="11"/>
        <v>0</v>
      </c>
      <c r="EL22" s="3">
        <f t="shared" si="11"/>
        <v>0</v>
      </c>
      <c r="EM22" s="3">
        <f t="shared" ref="EM22:FR22" si="12">EM220</f>
        <v>0</v>
      </c>
      <c r="EN22" s="3">
        <f t="shared" si="12"/>
        <v>0</v>
      </c>
      <c r="EO22" s="3">
        <f t="shared" si="12"/>
        <v>0</v>
      </c>
      <c r="EP22" s="3">
        <f t="shared" si="12"/>
        <v>0</v>
      </c>
      <c r="EQ22" s="3">
        <f t="shared" si="12"/>
        <v>0</v>
      </c>
      <c r="ER22" s="3">
        <f t="shared" si="12"/>
        <v>0</v>
      </c>
      <c r="ES22" s="3">
        <f t="shared" si="12"/>
        <v>0</v>
      </c>
      <c r="ET22" s="3">
        <f t="shared" si="12"/>
        <v>0</v>
      </c>
      <c r="EU22" s="3">
        <f t="shared" si="12"/>
        <v>0</v>
      </c>
      <c r="EV22" s="3">
        <f t="shared" si="12"/>
        <v>0</v>
      </c>
      <c r="EW22" s="3">
        <f t="shared" si="12"/>
        <v>0</v>
      </c>
      <c r="EX22" s="3">
        <f t="shared" si="12"/>
        <v>0</v>
      </c>
      <c r="EY22" s="3">
        <f t="shared" si="12"/>
        <v>0</v>
      </c>
      <c r="EZ22" s="3">
        <f t="shared" si="12"/>
        <v>0</v>
      </c>
      <c r="FA22" s="3">
        <f t="shared" si="12"/>
        <v>0</v>
      </c>
      <c r="FB22" s="3">
        <f t="shared" si="12"/>
        <v>0</v>
      </c>
      <c r="FC22" s="3">
        <f t="shared" si="12"/>
        <v>0</v>
      </c>
      <c r="FD22" s="3">
        <f t="shared" si="12"/>
        <v>0</v>
      </c>
      <c r="FE22" s="3">
        <f t="shared" si="12"/>
        <v>0</v>
      </c>
      <c r="FF22" s="3">
        <f t="shared" si="12"/>
        <v>0</v>
      </c>
      <c r="FG22" s="3">
        <f t="shared" si="12"/>
        <v>0</v>
      </c>
      <c r="FH22" s="3">
        <f t="shared" si="12"/>
        <v>0</v>
      </c>
      <c r="FI22" s="3">
        <f t="shared" si="12"/>
        <v>0</v>
      </c>
      <c r="FJ22" s="3">
        <f t="shared" si="12"/>
        <v>0</v>
      </c>
      <c r="FK22" s="3">
        <f t="shared" si="12"/>
        <v>0</v>
      </c>
      <c r="FL22" s="3">
        <f t="shared" si="12"/>
        <v>0</v>
      </c>
      <c r="FM22" s="3">
        <f t="shared" si="12"/>
        <v>0</v>
      </c>
      <c r="FN22" s="3">
        <f t="shared" si="12"/>
        <v>0</v>
      </c>
      <c r="FO22" s="3">
        <f t="shared" si="12"/>
        <v>0</v>
      </c>
      <c r="FP22" s="3">
        <f t="shared" si="12"/>
        <v>0</v>
      </c>
      <c r="FQ22" s="3">
        <f t="shared" si="12"/>
        <v>0</v>
      </c>
      <c r="FR22" s="3">
        <f t="shared" si="12"/>
        <v>0</v>
      </c>
      <c r="FS22" s="3">
        <f t="shared" ref="FS22:GX22" si="13">FS220</f>
        <v>0</v>
      </c>
      <c r="FT22" s="3">
        <f t="shared" si="13"/>
        <v>0</v>
      </c>
      <c r="FU22" s="3">
        <f t="shared" si="13"/>
        <v>0</v>
      </c>
      <c r="FV22" s="3">
        <f t="shared" si="13"/>
        <v>0</v>
      </c>
      <c r="FW22" s="3">
        <f t="shared" si="13"/>
        <v>0</v>
      </c>
      <c r="FX22" s="3">
        <f t="shared" si="13"/>
        <v>0</v>
      </c>
      <c r="FY22" s="3">
        <f t="shared" si="13"/>
        <v>0</v>
      </c>
      <c r="FZ22" s="3">
        <f t="shared" si="13"/>
        <v>0</v>
      </c>
      <c r="GA22" s="3">
        <f t="shared" si="13"/>
        <v>0</v>
      </c>
      <c r="GB22" s="3">
        <f t="shared" si="13"/>
        <v>0</v>
      </c>
      <c r="GC22" s="3">
        <f t="shared" si="13"/>
        <v>0</v>
      </c>
      <c r="GD22" s="3">
        <f t="shared" si="13"/>
        <v>0</v>
      </c>
      <c r="GE22" s="3">
        <f t="shared" si="13"/>
        <v>0</v>
      </c>
      <c r="GF22" s="3">
        <f t="shared" si="13"/>
        <v>0</v>
      </c>
      <c r="GG22" s="3">
        <f t="shared" si="13"/>
        <v>0</v>
      </c>
      <c r="GH22" s="3">
        <f t="shared" si="13"/>
        <v>0</v>
      </c>
      <c r="GI22" s="3">
        <f t="shared" si="13"/>
        <v>0</v>
      </c>
      <c r="GJ22" s="3">
        <f t="shared" si="13"/>
        <v>0</v>
      </c>
      <c r="GK22" s="3">
        <f t="shared" si="13"/>
        <v>0</v>
      </c>
      <c r="GL22" s="3">
        <f t="shared" si="13"/>
        <v>0</v>
      </c>
      <c r="GM22" s="3">
        <f t="shared" si="13"/>
        <v>0</v>
      </c>
      <c r="GN22" s="3">
        <f t="shared" si="13"/>
        <v>0</v>
      </c>
      <c r="GO22" s="3">
        <f t="shared" si="13"/>
        <v>0</v>
      </c>
      <c r="GP22" s="3">
        <f t="shared" si="13"/>
        <v>0</v>
      </c>
      <c r="GQ22" s="3">
        <f t="shared" si="13"/>
        <v>0</v>
      </c>
      <c r="GR22" s="3">
        <f t="shared" si="13"/>
        <v>0</v>
      </c>
      <c r="GS22" s="3">
        <f t="shared" si="13"/>
        <v>0</v>
      </c>
      <c r="GT22" s="3">
        <f t="shared" si="13"/>
        <v>0</v>
      </c>
      <c r="GU22" s="3">
        <f t="shared" si="13"/>
        <v>0</v>
      </c>
      <c r="GV22" s="3">
        <f t="shared" si="13"/>
        <v>0</v>
      </c>
      <c r="GW22" s="3">
        <f t="shared" si="13"/>
        <v>0</v>
      </c>
      <c r="GX22" s="3">
        <f t="shared" si="13"/>
        <v>0</v>
      </c>
    </row>
    <row r="24" spans="1:245" x14ac:dyDescent="0.2">
      <c r="A24" s="1">
        <v>4</v>
      </c>
      <c r="B24" s="1">
        <v>1</v>
      </c>
      <c r="C24" s="1"/>
      <c r="D24" s="1">
        <f>ROW(A37)</f>
        <v>37</v>
      </c>
      <c r="E24" s="1"/>
      <c r="F24" s="1" t="s">
        <v>21</v>
      </c>
      <c r="G24" s="1" t="s">
        <v>22</v>
      </c>
      <c r="H24" s="1" t="s">
        <v>3</v>
      </c>
      <c r="I24" s="1">
        <v>0</v>
      </c>
      <c r="J24" s="1"/>
      <c r="K24" s="1">
        <v>-1</v>
      </c>
      <c r="L24" s="1"/>
      <c r="M24" s="1" t="s">
        <v>3</v>
      </c>
      <c r="N24" s="1"/>
      <c r="O24" s="1"/>
      <c r="P24" s="1"/>
      <c r="Q24" s="1"/>
      <c r="R24" s="1"/>
      <c r="S24" s="1">
        <v>0</v>
      </c>
      <c r="T24" s="1"/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245" x14ac:dyDescent="0.2">
      <c r="A26" s="2">
        <v>52</v>
      </c>
      <c r="B26" s="2">
        <f t="shared" ref="B26:G26" si="14">B37</f>
        <v>1</v>
      </c>
      <c r="C26" s="2">
        <f t="shared" si="14"/>
        <v>4</v>
      </c>
      <c r="D26" s="2">
        <f t="shared" si="14"/>
        <v>24</v>
      </c>
      <c r="E26" s="2">
        <f t="shared" si="14"/>
        <v>0</v>
      </c>
      <c r="F26" s="2" t="str">
        <f t="shared" si="14"/>
        <v>Новый раздел</v>
      </c>
      <c r="G26" s="2" t="str">
        <f t="shared" si="14"/>
        <v>Земляные работы.</v>
      </c>
      <c r="H26" s="2"/>
      <c r="I26" s="2"/>
      <c r="J26" s="2"/>
      <c r="K26" s="2"/>
      <c r="L26" s="2"/>
      <c r="M26" s="2"/>
      <c r="N26" s="2"/>
      <c r="O26" s="2">
        <f t="shared" ref="O26:AT26" si="15">O37</f>
        <v>41992.49</v>
      </c>
      <c r="P26" s="2">
        <f t="shared" si="15"/>
        <v>8112.24</v>
      </c>
      <c r="Q26" s="2">
        <f t="shared" si="15"/>
        <v>7868.64</v>
      </c>
      <c r="R26" s="2">
        <f t="shared" si="15"/>
        <v>5409.52</v>
      </c>
      <c r="S26" s="2">
        <f t="shared" si="15"/>
        <v>26011.61</v>
      </c>
      <c r="T26" s="2">
        <f t="shared" si="15"/>
        <v>0</v>
      </c>
      <c r="U26" s="2">
        <f t="shared" si="15"/>
        <v>100.13154748000001</v>
      </c>
      <c r="V26" s="2">
        <f t="shared" si="15"/>
        <v>0</v>
      </c>
      <c r="W26" s="2">
        <f t="shared" si="15"/>
        <v>0</v>
      </c>
      <c r="X26" s="2">
        <f t="shared" si="15"/>
        <v>19324.939999999999</v>
      </c>
      <c r="Y26" s="2">
        <f t="shared" si="15"/>
        <v>10743.69</v>
      </c>
      <c r="Z26" s="2">
        <f t="shared" si="15"/>
        <v>0</v>
      </c>
      <c r="AA26" s="2">
        <f t="shared" si="15"/>
        <v>0</v>
      </c>
      <c r="AB26" s="2">
        <f t="shared" si="15"/>
        <v>41992.49</v>
      </c>
      <c r="AC26" s="2">
        <f t="shared" si="15"/>
        <v>8112.24</v>
      </c>
      <c r="AD26" s="2">
        <f t="shared" si="15"/>
        <v>7868.64</v>
      </c>
      <c r="AE26" s="2">
        <f t="shared" si="15"/>
        <v>5409.52</v>
      </c>
      <c r="AF26" s="2">
        <f t="shared" si="15"/>
        <v>26011.61</v>
      </c>
      <c r="AG26" s="2">
        <f t="shared" si="15"/>
        <v>0</v>
      </c>
      <c r="AH26" s="2">
        <f t="shared" si="15"/>
        <v>100.13154748000001</v>
      </c>
      <c r="AI26" s="2">
        <f t="shared" si="15"/>
        <v>0</v>
      </c>
      <c r="AJ26" s="2">
        <f t="shared" si="15"/>
        <v>0</v>
      </c>
      <c r="AK26" s="2">
        <f t="shared" si="15"/>
        <v>19324.939999999999</v>
      </c>
      <c r="AL26" s="2">
        <f t="shared" si="15"/>
        <v>10743.69</v>
      </c>
      <c r="AM26" s="2">
        <f t="shared" si="15"/>
        <v>0</v>
      </c>
      <c r="AN26" s="2">
        <f t="shared" si="15"/>
        <v>0</v>
      </c>
      <c r="AO26" s="2">
        <f t="shared" si="15"/>
        <v>0</v>
      </c>
      <c r="AP26" s="2">
        <f t="shared" si="15"/>
        <v>0</v>
      </c>
      <c r="AQ26" s="2">
        <f t="shared" si="15"/>
        <v>0</v>
      </c>
      <c r="AR26" s="2">
        <f t="shared" si="15"/>
        <v>80554.070000000007</v>
      </c>
      <c r="AS26" s="2">
        <f t="shared" si="15"/>
        <v>61910.29</v>
      </c>
      <c r="AT26" s="2">
        <f t="shared" si="15"/>
        <v>18643.78</v>
      </c>
      <c r="AU26" s="2">
        <f t="shared" ref="AU26:BZ26" si="16">AU37</f>
        <v>0</v>
      </c>
      <c r="AV26" s="2">
        <f t="shared" si="16"/>
        <v>8112.24</v>
      </c>
      <c r="AW26" s="2">
        <f t="shared" si="16"/>
        <v>8112.24</v>
      </c>
      <c r="AX26" s="2">
        <f t="shared" si="16"/>
        <v>0</v>
      </c>
      <c r="AY26" s="2">
        <f t="shared" si="16"/>
        <v>8112.24</v>
      </c>
      <c r="AZ26" s="2">
        <f t="shared" si="16"/>
        <v>0</v>
      </c>
      <c r="BA26" s="2">
        <f t="shared" si="16"/>
        <v>0</v>
      </c>
      <c r="BB26" s="2">
        <f t="shared" si="16"/>
        <v>0</v>
      </c>
      <c r="BC26" s="2">
        <f t="shared" si="16"/>
        <v>0</v>
      </c>
      <c r="BD26" s="2">
        <f t="shared" si="16"/>
        <v>0</v>
      </c>
      <c r="BE26" s="2">
        <f t="shared" si="16"/>
        <v>0</v>
      </c>
      <c r="BF26" s="2">
        <f t="shared" si="16"/>
        <v>0</v>
      </c>
      <c r="BG26" s="2">
        <f t="shared" si="16"/>
        <v>0</v>
      </c>
      <c r="BH26" s="2">
        <f t="shared" si="16"/>
        <v>0</v>
      </c>
      <c r="BI26" s="2">
        <f t="shared" si="16"/>
        <v>0</v>
      </c>
      <c r="BJ26" s="2">
        <f t="shared" si="16"/>
        <v>0</v>
      </c>
      <c r="BK26" s="2">
        <f t="shared" si="16"/>
        <v>0</v>
      </c>
      <c r="BL26" s="2">
        <f t="shared" si="16"/>
        <v>0</v>
      </c>
      <c r="BM26" s="2">
        <f t="shared" si="16"/>
        <v>0</v>
      </c>
      <c r="BN26" s="2">
        <f t="shared" si="16"/>
        <v>0</v>
      </c>
      <c r="BO26" s="2">
        <f t="shared" si="16"/>
        <v>0</v>
      </c>
      <c r="BP26" s="2">
        <f t="shared" si="16"/>
        <v>0</v>
      </c>
      <c r="BQ26" s="2">
        <f t="shared" si="16"/>
        <v>0</v>
      </c>
      <c r="BR26" s="2">
        <f t="shared" si="16"/>
        <v>0</v>
      </c>
      <c r="BS26" s="2">
        <f t="shared" si="16"/>
        <v>0</v>
      </c>
      <c r="BT26" s="2">
        <f t="shared" si="16"/>
        <v>0</v>
      </c>
      <c r="BU26" s="2">
        <f t="shared" si="16"/>
        <v>0</v>
      </c>
      <c r="BV26" s="2">
        <f t="shared" si="16"/>
        <v>0</v>
      </c>
      <c r="BW26" s="2">
        <f t="shared" si="16"/>
        <v>0</v>
      </c>
      <c r="BX26" s="2">
        <f t="shared" si="16"/>
        <v>0</v>
      </c>
      <c r="BY26" s="2">
        <f t="shared" si="16"/>
        <v>0</v>
      </c>
      <c r="BZ26" s="2">
        <f t="shared" si="16"/>
        <v>0</v>
      </c>
      <c r="CA26" s="2">
        <f t="shared" ref="CA26:DF26" si="17">CA37</f>
        <v>80554.070000000007</v>
      </c>
      <c r="CB26" s="2">
        <f t="shared" si="17"/>
        <v>61910.29</v>
      </c>
      <c r="CC26" s="2">
        <f t="shared" si="17"/>
        <v>18643.78</v>
      </c>
      <c r="CD26" s="2">
        <f t="shared" si="17"/>
        <v>0</v>
      </c>
      <c r="CE26" s="2">
        <f t="shared" si="17"/>
        <v>8112.24</v>
      </c>
      <c r="CF26" s="2">
        <f t="shared" si="17"/>
        <v>8112.24</v>
      </c>
      <c r="CG26" s="2">
        <f t="shared" si="17"/>
        <v>0</v>
      </c>
      <c r="CH26" s="2">
        <f t="shared" si="17"/>
        <v>8112.24</v>
      </c>
      <c r="CI26" s="2">
        <f t="shared" si="17"/>
        <v>0</v>
      </c>
      <c r="CJ26" s="2">
        <f t="shared" si="17"/>
        <v>0</v>
      </c>
      <c r="CK26" s="2">
        <f t="shared" si="17"/>
        <v>0</v>
      </c>
      <c r="CL26" s="2">
        <f t="shared" si="17"/>
        <v>0</v>
      </c>
      <c r="CM26" s="2">
        <f t="shared" si="17"/>
        <v>0</v>
      </c>
      <c r="CN26" s="2">
        <f t="shared" si="17"/>
        <v>0</v>
      </c>
      <c r="CO26" s="2">
        <f t="shared" si="17"/>
        <v>0</v>
      </c>
      <c r="CP26" s="2">
        <f t="shared" si="17"/>
        <v>0</v>
      </c>
      <c r="CQ26" s="2">
        <f t="shared" si="17"/>
        <v>0</v>
      </c>
      <c r="CR26" s="2">
        <f t="shared" si="17"/>
        <v>0</v>
      </c>
      <c r="CS26" s="2">
        <f t="shared" si="17"/>
        <v>0</v>
      </c>
      <c r="CT26" s="2">
        <f t="shared" si="17"/>
        <v>0</v>
      </c>
      <c r="CU26" s="2">
        <f t="shared" si="17"/>
        <v>0</v>
      </c>
      <c r="CV26" s="2">
        <f t="shared" si="17"/>
        <v>0</v>
      </c>
      <c r="CW26" s="2">
        <f t="shared" si="17"/>
        <v>0</v>
      </c>
      <c r="CX26" s="2">
        <f t="shared" si="17"/>
        <v>0</v>
      </c>
      <c r="CY26" s="2">
        <f t="shared" si="17"/>
        <v>0</v>
      </c>
      <c r="CZ26" s="2">
        <f t="shared" si="17"/>
        <v>0</v>
      </c>
      <c r="DA26" s="2">
        <f t="shared" si="17"/>
        <v>0</v>
      </c>
      <c r="DB26" s="2">
        <f t="shared" si="17"/>
        <v>0</v>
      </c>
      <c r="DC26" s="2">
        <f t="shared" si="17"/>
        <v>0</v>
      </c>
      <c r="DD26" s="2">
        <f t="shared" si="17"/>
        <v>0</v>
      </c>
      <c r="DE26" s="2">
        <f t="shared" si="17"/>
        <v>0</v>
      </c>
      <c r="DF26" s="2">
        <f t="shared" si="17"/>
        <v>0</v>
      </c>
      <c r="DG26" s="3">
        <f t="shared" ref="DG26:EL26" si="18">DG37</f>
        <v>0</v>
      </c>
      <c r="DH26" s="3">
        <f t="shared" si="18"/>
        <v>0</v>
      </c>
      <c r="DI26" s="3">
        <f t="shared" si="18"/>
        <v>0</v>
      </c>
      <c r="DJ26" s="3">
        <f t="shared" si="18"/>
        <v>0</v>
      </c>
      <c r="DK26" s="3">
        <f t="shared" si="18"/>
        <v>0</v>
      </c>
      <c r="DL26" s="3">
        <f t="shared" si="18"/>
        <v>0</v>
      </c>
      <c r="DM26" s="3">
        <f t="shared" si="18"/>
        <v>0</v>
      </c>
      <c r="DN26" s="3">
        <f t="shared" si="18"/>
        <v>0</v>
      </c>
      <c r="DO26" s="3">
        <f t="shared" si="18"/>
        <v>0</v>
      </c>
      <c r="DP26" s="3">
        <f t="shared" si="18"/>
        <v>0</v>
      </c>
      <c r="DQ26" s="3">
        <f t="shared" si="18"/>
        <v>0</v>
      </c>
      <c r="DR26" s="3">
        <f t="shared" si="18"/>
        <v>0</v>
      </c>
      <c r="DS26" s="3">
        <f t="shared" si="18"/>
        <v>0</v>
      </c>
      <c r="DT26" s="3">
        <f t="shared" si="18"/>
        <v>0</v>
      </c>
      <c r="DU26" s="3">
        <f t="shared" si="18"/>
        <v>0</v>
      </c>
      <c r="DV26" s="3">
        <f t="shared" si="18"/>
        <v>0</v>
      </c>
      <c r="DW26" s="3">
        <f t="shared" si="18"/>
        <v>0</v>
      </c>
      <c r="DX26" s="3">
        <f t="shared" si="18"/>
        <v>0</v>
      </c>
      <c r="DY26" s="3">
        <f t="shared" si="18"/>
        <v>0</v>
      </c>
      <c r="DZ26" s="3">
        <f t="shared" si="18"/>
        <v>0</v>
      </c>
      <c r="EA26" s="3">
        <f t="shared" si="18"/>
        <v>0</v>
      </c>
      <c r="EB26" s="3">
        <f t="shared" si="18"/>
        <v>0</v>
      </c>
      <c r="EC26" s="3">
        <f t="shared" si="18"/>
        <v>0</v>
      </c>
      <c r="ED26" s="3">
        <f t="shared" si="18"/>
        <v>0</v>
      </c>
      <c r="EE26" s="3">
        <f t="shared" si="18"/>
        <v>0</v>
      </c>
      <c r="EF26" s="3">
        <f t="shared" si="18"/>
        <v>0</v>
      </c>
      <c r="EG26" s="3">
        <f t="shared" si="18"/>
        <v>0</v>
      </c>
      <c r="EH26" s="3">
        <f t="shared" si="18"/>
        <v>0</v>
      </c>
      <c r="EI26" s="3">
        <f t="shared" si="18"/>
        <v>0</v>
      </c>
      <c r="EJ26" s="3">
        <f t="shared" si="18"/>
        <v>0</v>
      </c>
      <c r="EK26" s="3">
        <f t="shared" si="18"/>
        <v>0</v>
      </c>
      <c r="EL26" s="3">
        <f t="shared" si="18"/>
        <v>0</v>
      </c>
      <c r="EM26" s="3">
        <f t="shared" ref="EM26:FR26" si="19">EM37</f>
        <v>0</v>
      </c>
      <c r="EN26" s="3">
        <f t="shared" si="19"/>
        <v>0</v>
      </c>
      <c r="EO26" s="3">
        <f t="shared" si="19"/>
        <v>0</v>
      </c>
      <c r="EP26" s="3">
        <f t="shared" si="19"/>
        <v>0</v>
      </c>
      <c r="EQ26" s="3">
        <f t="shared" si="19"/>
        <v>0</v>
      </c>
      <c r="ER26" s="3">
        <f t="shared" si="19"/>
        <v>0</v>
      </c>
      <c r="ES26" s="3">
        <f t="shared" si="19"/>
        <v>0</v>
      </c>
      <c r="ET26" s="3">
        <f t="shared" si="19"/>
        <v>0</v>
      </c>
      <c r="EU26" s="3">
        <f t="shared" si="19"/>
        <v>0</v>
      </c>
      <c r="EV26" s="3">
        <f t="shared" si="19"/>
        <v>0</v>
      </c>
      <c r="EW26" s="3">
        <f t="shared" si="19"/>
        <v>0</v>
      </c>
      <c r="EX26" s="3">
        <f t="shared" si="19"/>
        <v>0</v>
      </c>
      <c r="EY26" s="3">
        <f t="shared" si="19"/>
        <v>0</v>
      </c>
      <c r="EZ26" s="3">
        <f t="shared" si="19"/>
        <v>0</v>
      </c>
      <c r="FA26" s="3">
        <f t="shared" si="19"/>
        <v>0</v>
      </c>
      <c r="FB26" s="3">
        <f t="shared" si="19"/>
        <v>0</v>
      </c>
      <c r="FC26" s="3">
        <f t="shared" si="19"/>
        <v>0</v>
      </c>
      <c r="FD26" s="3">
        <f t="shared" si="19"/>
        <v>0</v>
      </c>
      <c r="FE26" s="3">
        <f t="shared" si="19"/>
        <v>0</v>
      </c>
      <c r="FF26" s="3">
        <f t="shared" si="19"/>
        <v>0</v>
      </c>
      <c r="FG26" s="3">
        <f t="shared" si="19"/>
        <v>0</v>
      </c>
      <c r="FH26" s="3">
        <f t="shared" si="19"/>
        <v>0</v>
      </c>
      <c r="FI26" s="3">
        <f t="shared" si="19"/>
        <v>0</v>
      </c>
      <c r="FJ26" s="3">
        <f t="shared" si="19"/>
        <v>0</v>
      </c>
      <c r="FK26" s="3">
        <f t="shared" si="19"/>
        <v>0</v>
      </c>
      <c r="FL26" s="3">
        <f t="shared" si="19"/>
        <v>0</v>
      </c>
      <c r="FM26" s="3">
        <f t="shared" si="19"/>
        <v>0</v>
      </c>
      <c r="FN26" s="3">
        <f t="shared" si="19"/>
        <v>0</v>
      </c>
      <c r="FO26" s="3">
        <f t="shared" si="19"/>
        <v>0</v>
      </c>
      <c r="FP26" s="3">
        <f t="shared" si="19"/>
        <v>0</v>
      </c>
      <c r="FQ26" s="3">
        <f t="shared" si="19"/>
        <v>0</v>
      </c>
      <c r="FR26" s="3">
        <f t="shared" si="19"/>
        <v>0</v>
      </c>
      <c r="FS26" s="3">
        <f t="shared" ref="FS26:GX26" si="20">FS37</f>
        <v>0</v>
      </c>
      <c r="FT26" s="3">
        <f t="shared" si="20"/>
        <v>0</v>
      </c>
      <c r="FU26" s="3">
        <f t="shared" si="20"/>
        <v>0</v>
      </c>
      <c r="FV26" s="3">
        <f t="shared" si="20"/>
        <v>0</v>
      </c>
      <c r="FW26" s="3">
        <f t="shared" si="20"/>
        <v>0</v>
      </c>
      <c r="FX26" s="3">
        <f t="shared" si="20"/>
        <v>0</v>
      </c>
      <c r="FY26" s="3">
        <f t="shared" si="20"/>
        <v>0</v>
      </c>
      <c r="FZ26" s="3">
        <f t="shared" si="20"/>
        <v>0</v>
      </c>
      <c r="GA26" s="3">
        <f t="shared" si="20"/>
        <v>0</v>
      </c>
      <c r="GB26" s="3">
        <f t="shared" si="20"/>
        <v>0</v>
      </c>
      <c r="GC26" s="3">
        <f t="shared" si="20"/>
        <v>0</v>
      </c>
      <c r="GD26" s="3">
        <f t="shared" si="20"/>
        <v>0</v>
      </c>
      <c r="GE26" s="3">
        <f t="shared" si="20"/>
        <v>0</v>
      </c>
      <c r="GF26" s="3">
        <f t="shared" si="20"/>
        <v>0</v>
      </c>
      <c r="GG26" s="3">
        <f t="shared" si="20"/>
        <v>0</v>
      </c>
      <c r="GH26" s="3">
        <f t="shared" si="20"/>
        <v>0</v>
      </c>
      <c r="GI26" s="3">
        <f t="shared" si="20"/>
        <v>0</v>
      </c>
      <c r="GJ26" s="3">
        <f t="shared" si="20"/>
        <v>0</v>
      </c>
      <c r="GK26" s="3">
        <f t="shared" si="20"/>
        <v>0</v>
      </c>
      <c r="GL26" s="3">
        <f t="shared" si="20"/>
        <v>0</v>
      </c>
      <c r="GM26" s="3">
        <f t="shared" si="20"/>
        <v>0</v>
      </c>
      <c r="GN26" s="3">
        <f t="shared" si="20"/>
        <v>0</v>
      </c>
      <c r="GO26" s="3">
        <f t="shared" si="20"/>
        <v>0</v>
      </c>
      <c r="GP26" s="3">
        <f t="shared" si="20"/>
        <v>0</v>
      </c>
      <c r="GQ26" s="3">
        <f t="shared" si="20"/>
        <v>0</v>
      </c>
      <c r="GR26" s="3">
        <f t="shared" si="20"/>
        <v>0</v>
      </c>
      <c r="GS26" s="3">
        <f t="shared" si="20"/>
        <v>0</v>
      </c>
      <c r="GT26" s="3">
        <f t="shared" si="20"/>
        <v>0</v>
      </c>
      <c r="GU26" s="3">
        <f t="shared" si="20"/>
        <v>0</v>
      </c>
      <c r="GV26" s="3">
        <f t="shared" si="20"/>
        <v>0</v>
      </c>
      <c r="GW26" s="3">
        <f t="shared" si="20"/>
        <v>0</v>
      </c>
      <c r="GX26" s="3">
        <f t="shared" si="20"/>
        <v>0</v>
      </c>
    </row>
    <row r="28" spans="1:245" x14ac:dyDescent="0.2">
      <c r="A28">
        <v>17</v>
      </c>
      <c r="B28">
        <v>1</v>
      </c>
      <c r="C28">
        <f>ROW(SmtRes!A1)</f>
        <v>1</v>
      </c>
      <c r="D28">
        <f>ROW(EtalonRes!A1)</f>
        <v>1</v>
      </c>
      <c r="E28" t="s">
        <v>23</v>
      </c>
      <c r="F28" t="s">
        <v>24</v>
      </c>
      <c r="G28" t="s">
        <v>25</v>
      </c>
      <c r="H28" t="s">
        <v>26</v>
      </c>
      <c r="I28">
        <f>ROUND(0.4*0.9*65/100,9)</f>
        <v>0.23400000000000001</v>
      </c>
      <c r="J28">
        <v>0</v>
      </c>
      <c r="O28">
        <f t="shared" ref="O28:O35" si="21">ROUND(CP28,2)</f>
        <v>14805.38</v>
      </c>
      <c r="P28">
        <f t="shared" ref="P28:P35" si="22">ROUND((ROUND((AC28*AW28*I28),2)*BC28),2)</f>
        <v>0</v>
      </c>
      <c r="Q28">
        <f t="shared" ref="Q28:Q35" si="23">(ROUND((ROUND(((ET28)*AV28*I28),2)*BB28),2)+ROUND((ROUND(((AE28-(EU28))*AV28*I28),2)*BS28),2))</f>
        <v>0</v>
      </c>
      <c r="R28">
        <f t="shared" ref="R28:R35" si="24">ROUND((ROUND((AE28*AV28*I28),2)*BS28),2)</f>
        <v>0</v>
      </c>
      <c r="S28">
        <f t="shared" ref="S28:S35" si="25">ROUND((ROUND((AF28*AV28*I28),2)*BA28),2)</f>
        <v>14805.38</v>
      </c>
      <c r="T28">
        <f t="shared" ref="T28:T35" si="26">ROUND(CU28*I28,2)</f>
        <v>0</v>
      </c>
      <c r="U28">
        <f t="shared" ref="U28:U35" si="27">CV28*I28</f>
        <v>56.274566400000005</v>
      </c>
      <c r="V28">
        <f t="shared" ref="V28:V35" si="28">CW28*I28</f>
        <v>0</v>
      </c>
      <c r="W28">
        <f t="shared" ref="W28:W35" si="29">ROUND(CX28*I28,2)</f>
        <v>0</v>
      </c>
      <c r="X28">
        <f t="shared" ref="X28:Y35" si="30">ROUND(CY28,2)</f>
        <v>10807.93</v>
      </c>
      <c r="Y28">
        <f t="shared" si="30"/>
        <v>6070.21</v>
      </c>
      <c r="AA28">
        <v>23689695</v>
      </c>
      <c r="AB28">
        <f t="shared" ref="AB28:AB35" si="31">ROUND((AC28+AD28+AF28),6)</f>
        <v>2042.62</v>
      </c>
      <c r="AC28">
        <f t="shared" ref="AC28:AC35" si="32">ROUND((ES28),6)</f>
        <v>0</v>
      </c>
      <c r="AD28">
        <f t="shared" ref="AD28:AD35" si="33">ROUND((((ET28)-(EU28))+AE28),6)</f>
        <v>0</v>
      </c>
      <c r="AE28">
        <f t="shared" ref="AE28:AF35" si="34">ROUND((EU28),6)</f>
        <v>0</v>
      </c>
      <c r="AF28">
        <f t="shared" si="34"/>
        <v>2042.62</v>
      </c>
      <c r="AG28">
        <f t="shared" ref="AG28:AG35" si="35">ROUND((AP28),6)</f>
        <v>0</v>
      </c>
      <c r="AH28">
        <f t="shared" ref="AH28:AI35" si="36">(EW28)</f>
        <v>192.7</v>
      </c>
      <c r="AI28">
        <f t="shared" si="36"/>
        <v>0</v>
      </c>
      <c r="AJ28">
        <f t="shared" ref="AJ28:AJ35" si="37">(AS28)</f>
        <v>0</v>
      </c>
      <c r="AK28">
        <v>2042.62</v>
      </c>
      <c r="AL28">
        <v>0</v>
      </c>
      <c r="AM28">
        <v>0</v>
      </c>
      <c r="AN28">
        <v>0</v>
      </c>
      <c r="AO28">
        <v>2042.62</v>
      </c>
      <c r="AP28">
        <v>0</v>
      </c>
      <c r="AQ28">
        <v>192.7</v>
      </c>
      <c r="AR28">
        <v>0</v>
      </c>
      <c r="AS28">
        <v>0</v>
      </c>
      <c r="AT28">
        <v>73</v>
      </c>
      <c r="AU28">
        <v>41</v>
      </c>
      <c r="AV28">
        <v>1.248</v>
      </c>
      <c r="AW28">
        <v>1</v>
      </c>
      <c r="AZ28">
        <v>1</v>
      </c>
      <c r="BA28">
        <v>24.82</v>
      </c>
      <c r="BB28">
        <v>1</v>
      </c>
      <c r="BC28">
        <v>1</v>
      </c>
      <c r="BD28" t="s">
        <v>3</v>
      </c>
      <c r="BE28" t="s">
        <v>3</v>
      </c>
      <c r="BF28" t="s">
        <v>3</v>
      </c>
      <c r="BG28" t="s">
        <v>3</v>
      </c>
      <c r="BH28">
        <v>0</v>
      </c>
      <c r="BI28">
        <v>1</v>
      </c>
      <c r="BJ28" t="s">
        <v>27</v>
      </c>
      <c r="BM28">
        <v>16</v>
      </c>
      <c r="BN28">
        <v>0</v>
      </c>
      <c r="BO28" t="s">
        <v>24</v>
      </c>
      <c r="BP28">
        <v>1</v>
      </c>
      <c r="BQ28">
        <v>30</v>
      </c>
      <c r="BR28">
        <v>0</v>
      </c>
      <c r="BS28">
        <v>24.82</v>
      </c>
      <c r="BT28">
        <v>1</v>
      </c>
      <c r="BU28">
        <v>1</v>
      </c>
      <c r="BV28">
        <v>1</v>
      </c>
      <c r="BW28">
        <v>1</v>
      </c>
      <c r="BX28">
        <v>1</v>
      </c>
      <c r="BY28" t="s">
        <v>3</v>
      </c>
      <c r="BZ28">
        <v>73</v>
      </c>
      <c r="CA28">
        <v>41</v>
      </c>
      <c r="CE28">
        <v>30</v>
      </c>
      <c r="CF28">
        <v>0</v>
      </c>
      <c r="CG28">
        <v>0</v>
      </c>
      <c r="CM28">
        <v>0</v>
      </c>
      <c r="CN28" t="s">
        <v>3</v>
      </c>
      <c r="CO28">
        <v>0</v>
      </c>
      <c r="CP28">
        <f t="shared" ref="CP28:CP35" si="38">(P28+Q28+S28)</f>
        <v>14805.38</v>
      </c>
      <c r="CQ28">
        <f t="shared" ref="CQ28:CQ35" si="39">ROUND((ROUND((AC28*AW28*1),2)*BC28),2)</f>
        <v>0</v>
      </c>
      <c r="CR28">
        <f t="shared" ref="CR28:CR35" si="40">(ROUND((ROUND(((ET28)*AV28*1),2)*BB28),2)+ROUND((ROUND(((AE28-(EU28))*AV28*1),2)*BS28),2))</f>
        <v>0</v>
      </c>
      <c r="CS28">
        <f t="shared" ref="CS28:CS35" si="41">ROUND((ROUND((AE28*AV28*1),2)*BS28),2)</f>
        <v>0</v>
      </c>
      <c r="CT28">
        <f t="shared" ref="CT28:CT35" si="42">ROUND((ROUND((AF28*AV28*1),2)*BA28),2)</f>
        <v>63270.9</v>
      </c>
      <c r="CU28">
        <f t="shared" ref="CU28:CU35" si="43">AG28</f>
        <v>0</v>
      </c>
      <c r="CV28">
        <f t="shared" ref="CV28:CV35" si="44">(AH28*AV28)</f>
        <v>240.4896</v>
      </c>
      <c r="CW28">
        <f t="shared" ref="CW28:CX35" si="45">AI28</f>
        <v>0</v>
      </c>
      <c r="CX28">
        <f t="shared" si="45"/>
        <v>0</v>
      </c>
      <c r="CY28">
        <f t="shared" ref="CY28:CY35" si="46">S28*(BZ28/100)</f>
        <v>10807.927399999999</v>
      </c>
      <c r="CZ28">
        <f t="shared" ref="CZ28:CZ35" si="47">S28*(CA28/100)</f>
        <v>6070.2057999999997</v>
      </c>
      <c r="DC28" t="s">
        <v>3</v>
      </c>
      <c r="DD28" t="s">
        <v>3</v>
      </c>
      <c r="DE28" t="s">
        <v>3</v>
      </c>
      <c r="DF28" t="s">
        <v>3</v>
      </c>
      <c r="DG28" t="s">
        <v>3</v>
      </c>
      <c r="DH28" t="s">
        <v>3</v>
      </c>
      <c r="DI28" t="s">
        <v>3</v>
      </c>
      <c r="DJ28" t="s">
        <v>3</v>
      </c>
      <c r="DK28" t="s">
        <v>3</v>
      </c>
      <c r="DL28" t="s">
        <v>3</v>
      </c>
      <c r="DM28" t="s">
        <v>3</v>
      </c>
      <c r="DN28">
        <v>91</v>
      </c>
      <c r="DO28">
        <v>67</v>
      </c>
      <c r="DP28">
        <v>1.248</v>
      </c>
      <c r="DQ28">
        <v>1</v>
      </c>
      <c r="DU28">
        <v>1007</v>
      </c>
      <c r="DV28" t="s">
        <v>26</v>
      </c>
      <c r="DW28" t="s">
        <v>26</v>
      </c>
      <c r="DX28">
        <v>100</v>
      </c>
      <c r="DZ28" t="s">
        <v>3</v>
      </c>
      <c r="EA28" t="s">
        <v>3</v>
      </c>
      <c r="EB28" t="s">
        <v>3</v>
      </c>
      <c r="EC28" t="s">
        <v>3</v>
      </c>
      <c r="EE28">
        <v>22826857</v>
      </c>
      <c r="EF28">
        <v>30</v>
      </c>
      <c r="EG28" t="s">
        <v>28</v>
      </c>
      <c r="EH28">
        <v>0</v>
      </c>
      <c r="EI28" t="s">
        <v>3</v>
      </c>
      <c r="EJ28">
        <v>1</v>
      </c>
      <c r="EK28">
        <v>16</v>
      </c>
      <c r="EL28" t="s">
        <v>29</v>
      </c>
      <c r="EM28" t="s">
        <v>30</v>
      </c>
      <c r="EO28" t="s">
        <v>3</v>
      </c>
      <c r="EQ28">
        <v>0</v>
      </c>
      <c r="ER28">
        <v>2042.62</v>
      </c>
      <c r="ES28">
        <v>0</v>
      </c>
      <c r="ET28">
        <v>0</v>
      </c>
      <c r="EU28">
        <v>0</v>
      </c>
      <c r="EV28">
        <v>2042.62</v>
      </c>
      <c r="EW28">
        <v>192.7</v>
      </c>
      <c r="EX28">
        <v>0</v>
      </c>
      <c r="EY28">
        <v>0</v>
      </c>
      <c r="FQ28">
        <v>0</v>
      </c>
      <c r="FR28">
        <f t="shared" ref="FR28:FR35" si="48">ROUND(IF(AND(BH28=3,BI28=3),P28,0),2)</f>
        <v>0</v>
      </c>
      <c r="FS28">
        <v>0</v>
      </c>
      <c r="FX28">
        <v>91</v>
      </c>
      <c r="FY28">
        <v>67</v>
      </c>
      <c r="GA28" t="s">
        <v>3</v>
      </c>
      <c r="GD28">
        <v>0</v>
      </c>
      <c r="GF28">
        <v>-1910584882</v>
      </c>
      <c r="GG28">
        <v>2</v>
      </c>
      <c r="GH28">
        <v>1</v>
      </c>
      <c r="GI28">
        <v>2</v>
      </c>
      <c r="GJ28">
        <v>0</v>
      </c>
      <c r="GK28">
        <f>ROUND(R28*(R12)/100,2)</f>
        <v>0</v>
      </c>
      <c r="GL28">
        <f t="shared" ref="GL28:GL35" si="49">ROUND(IF(AND(BH28=3,BI28=3,FS28&lt;&gt;0),P28,0),2)</f>
        <v>0</v>
      </c>
      <c r="GM28">
        <f t="shared" ref="GM28:GM35" si="50">ROUND(O28+X28+Y28+GK28,2)+GX28</f>
        <v>31683.52</v>
      </c>
      <c r="GN28">
        <f t="shared" ref="GN28:GN35" si="51">IF(OR(BI28=0,BI28=1),ROUND(O28+X28+Y28+GK28,2),0)</f>
        <v>31683.52</v>
      </c>
      <c r="GO28">
        <f t="shared" ref="GO28:GO35" si="52">IF(BI28=2,ROUND(O28+X28+Y28+GK28,2),0)</f>
        <v>0</v>
      </c>
      <c r="GP28">
        <f t="shared" ref="GP28:GP35" si="53">IF(BI28=4,ROUND(O28+X28+Y28+GK28,2)+GX28,0)</f>
        <v>0</v>
      </c>
      <c r="GR28">
        <v>0</v>
      </c>
      <c r="GS28">
        <v>0</v>
      </c>
      <c r="GT28">
        <v>0</v>
      </c>
      <c r="GU28" t="s">
        <v>3</v>
      </c>
      <c r="GV28">
        <f t="shared" ref="GV28:GV35" si="54">ROUND((GT28),6)</f>
        <v>0</v>
      </c>
      <c r="GW28">
        <v>1</v>
      </c>
      <c r="GX28">
        <f t="shared" ref="GX28:GX35" si="55">ROUND(HC28*I28,2)</f>
        <v>0</v>
      </c>
      <c r="HA28">
        <v>0</v>
      </c>
      <c r="HB28">
        <v>0</v>
      </c>
      <c r="HC28">
        <f t="shared" ref="HC28:HC35" si="56">GV28*GW28</f>
        <v>0</v>
      </c>
      <c r="HE28" t="s">
        <v>3</v>
      </c>
      <c r="HF28" t="s">
        <v>3</v>
      </c>
      <c r="IK28">
        <v>0</v>
      </c>
    </row>
    <row r="29" spans="1:245" x14ac:dyDescent="0.2">
      <c r="A29">
        <v>17</v>
      </c>
      <c r="B29">
        <v>1</v>
      </c>
      <c r="C29">
        <f>ROW(SmtRes!A2)</f>
        <v>2</v>
      </c>
      <c r="D29">
        <f>ROW(EtalonRes!A2)</f>
        <v>2</v>
      </c>
      <c r="E29" t="s">
        <v>31</v>
      </c>
      <c r="F29" t="s">
        <v>32</v>
      </c>
      <c r="G29" t="s">
        <v>33</v>
      </c>
      <c r="H29" t="s">
        <v>26</v>
      </c>
      <c r="I29">
        <f>ROUND((I28),9)</f>
        <v>0.23400000000000001</v>
      </c>
      <c r="J29">
        <v>0</v>
      </c>
      <c r="O29">
        <f t="shared" si="21"/>
        <v>7618.75</v>
      </c>
      <c r="P29">
        <f t="shared" si="22"/>
        <v>0</v>
      </c>
      <c r="Q29">
        <f t="shared" si="23"/>
        <v>0</v>
      </c>
      <c r="R29">
        <f t="shared" si="24"/>
        <v>0</v>
      </c>
      <c r="S29">
        <f t="shared" si="25"/>
        <v>7618.75</v>
      </c>
      <c r="T29">
        <f t="shared" si="26"/>
        <v>0</v>
      </c>
      <c r="U29">
        <f t="shared" si="27"/>
        <v>31.259105280000007</v>
      </c>
      <c r="V29">
        <f t="shared" si="28"/>
        <v>0</v>
      </c>
      <c r="W29">
        <f t="shared" si="29"/>
        <v>0</v>
      </c>
      <c r="X29">
        <f t="shared" si="30"/>
        <v>5561.69</v>
      </c>
      <c r="Y29">
        <f t="shared" si="30"/>
        <v>3123.69</v>
      </c>
      <c r="AA29">
        <v>23689695</v>
      </c>
      <c r="AB29">
        <f t="shared" si="31"/>
        <v>1051.1300000000001</v>
      </c>
      <c r="AC29">
        <f t="shared" si="32"/>
        <v>0</v>
      </c>
      <c r="AD29">
        <f t="shared" si="33"/>
        <v>0</v>
      </c>
      <c r="AE29">
        <f t="shared" si="34"/>
        <v>0</v>
      </c>
      <c r="AF29">
        <f t="shared" si="34"/>
        <v>1051.1300000000001</v>
      </c>
      <c r="AG29">
        <f t="shared" si="35"/>
        <v>0</v>
      </c>
      <c r="AH29">
        <f t="shared" si="36"/>
        <v>107.04</v>
      </c>
      <c r="AI29">
        <f t="shared" si="36"/>
        <v>0</v>
      </c>
      <c r="AJ29">
        <f t="shared" si="37"/>
        <v>0</v>
      </c>
      <c r="AK29">
        <v>1051.1300000000001</v>
      </c>
      <c r="AL29">
        <v>0</v>
      </c>
      <c r="AM29">
        <v>0</v>
      </c>
      <c r="AN29">
        <v>0</v>
      </c>
      <c r="AO29">
        <v>1051.1300000000001</v>
      </c>
      <c r="AP29">
        <v>0</v>
      </c>
      <c r="AQ29">
        <v>107.04</v>
      </c>
      <c r="AR29">
        <v>0</v>
      </c>
      <c r="AS29">
        <v>0</v>
      </c>
      <c r="AT29">
        <v>73</v>
      </c>
      <c r="AU29">
        <v>41</v>
      </c>
      <c r="AV29">
        <v>1.248</v>
      </c>
      <c r="AW29">
        <v>1</v>
      </c>
      <c r="AZ29">
        <v>1</v>
      </c>
      <c r="BA29">
        <v>24.82</v>
      </c>
      <c r="BB29">
        <v>1</v>
      </c>
      <c r="BC29">
        <v>1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34</v>
      </c>
      <c r="BM29">
        <v>16</v>
      </c>
      <c r="BN29">
        <v>0</v>
      </c>
      <c r="BO29" t="s">
        <v>32</v>
      </c>
      <c r="BP29">
        <v>1</v>
      </c>
      <c r="BQ29">
        <v>30</v>
      </c>
      <c r="BR29">
        <v>0</v>
      </c>
      <c r="BS29">
        <v>24.82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73</v>
      </c>
      <c r="CA29">
        <v>41</v>
      </c>
      <c r="CE29">
        <v>30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8"/>
        <v>7618.75</v>
      </c>
      <c r="CQ29">
        <f t="shared" si="39"/>
        <v>0</v>
      </c>
      <c r="CR29">
        <f t="shared" si="40"/>
        <v>0</v>
      </c>
      <c r="CS29">
        <f t="shared" si="41"/>
        <v>0</v>
      </c>
      <c r="CT29">
        <f t="shared" si="42"/>
        <v>32559.119999999999</v>
      </c>
      <c r="CU29">
        <f t="shared" si="43"/>
        <v>0</v>
      </c>
      <c r="CV29">
        <f t="shared" si="44"/>
        <v>133.58592000000002</v>
      </c>
      <c r="CW29">
        <f t="shared" si="45"/>
        <v>0</v>
      </c>
      <c r="CX29">
        <f t="shared" si="45"/>
        <v>0</v>
      </c>
      <c r="CY29">
        <f t="shared" si="46"/>
        <v>5561.6875</v>
      </c>
      <c r="CZ29">
        <f t="shared" si="47"/>
        <v>3123.6875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91</v>
      </c>
      <c r="DO29">
        <v>67</v>
      </c>
      <c r="DP29">
        <v>1.248</v>
      </c>
      <c r="DQ29">
        <v>1</v>
      </c>
      <c r="DU29">
        <v>1007</v>
      </c>
      <c r="DV29" t="s">
        <v>26</v>
      </c>
      <c r="DW29" t="s">
        <v>26</v>
      </c>
      <c r="DX29">
        <v>100</v>
      </c>
      <c r="DZ29" t="s">
        <v>3</v>
      </c>
      <c r="EA29" t="s">
        <v>3</v>
      </c>
      <c r="EB29" t="s">
        <v>3</v>
      </c>
      <c r="EC29" t="s">
        <v>3</v>
      </c>
      <c r="EE29">
        <v>22826857</v>
      </c>
      <c r="EF29">
        <v>30</v>
      </c>
      <c r="EG29" t="s">
        <v>28</v>
      </c>
      <c r="EH29">
        <v>0</v>
      </c>
      <c r="EI29" t="s">
        <v>3</v>
      </c>
      <c r="EJ29">
        <v>1</v>
      </c>
      <c r="EK29">
        <v>16</v>
      </c>
      <c r="EL29" t="s">
        <v>29</v>
      </c>
      <c r="EM29" t="s">
        <v>30</v>
      </c>
      <c r="EO29" t="s">
        <v>3</v>
      </c>
      <c r="EQ29">
        <v>0</v>
      </c>
      <c r="ER29">
        <v>1051.1300000000001</v>
      </c>
      <c r="ES29">
        <v>0</v>
      </c>
      <c r="ET29">
        <v>0</v>
      </c>
      <c r="EU29">
        <v>0</v>
      </c>
      <c r="EV29">
        <v>1051.1300000000001</v>
      </c>
      <c r="EW29">
        <v>107.04</v>
      </c>
      <c r="EX29">
        <v>0</v>
      </c>
      <c r="EY29">
        <v>0</v>
      </c>
      <c r="FQ29">
        <v>0</v>
      </c>
      <c r="FR29">
        <f t="shared" si="48"/>
        <v>0</v>
      </c>
      <c r="FS29">
        <v>0</v>
      </c>
      <c r="FX29">
        <v>91</v>
      </c>
      <c r="FY29">
        <v>67</v>
      </c>
      <c r="GA29" t="s">
        <v>3</v>
      </c>
      <c r="GD29">
        <v>0</v>
      </c>
      <c r="GF29">
        <v>2092501538</v>
      </c>
      <c r="GG29">
        <v>2</v>
      </c>
      <c r="GH29">
        <v>1</v>
      </c>
      <c r="GI29">
        <v>2</v>
      </c>
      <c r="GJ29">
        <v>0</v>
      </c>
      <c r="GK29">
        <f>ROUND(R29*(R12)/100,2)</f>
        <v>0</v>
      </c>
      <c r="GL29">
        <f t="shared" si="49"/>
        <v>0</v>
      </c>
      <c r="GM29">
        <f t="shared" si="50"/>
        <v>16304.13</v>
      </c>
      <c r="GN29">
        <f t="shared" si="51"/>
        <v>16304.13</v>
      </c>
      <c r="GO29">
        <f t="shared" si="52"/>
        <v>0</v>
      </c>
      <c r="GP29">
        <f t="shared" si="53"/>
        <v>0</v>
      </c>
      <c r="GR29">
        <v>0</v>
      </c>
      <c r="GS29">
        <v>0</v>
      </c>
      <c r="GT29">
        <v>0</v>
      </c>
      <c r="GU29" t="s">
        <v>3</v>
      </c>
      <c r="GV29">
        <f t="shared" si="54"/>
        <v>0</v>
      </c>
      <c r="GW29">
        <v>1</v>
      </c>
      <c r="GX29">
        <f t="shared" si="55"/>
        <v>0</v>
      </c>
      <c r="HA29">
        <v>0</v>
      </c>
      <c r="HB29">
        <v>0</v>
      </c>
      <c r="HC29">
        <f t="shared" si="56"/>
        <v>0</v>
      </c>
      <c r="HE29" t="s">
        <v>3</v>
      </c>
      <c r="HF29" t="s">
        <v>3</v>
      </c>
      <c r="IK29">
        <v>0</v>
      </c>
    </row>
    <row r="30" spans="1:245" x14ac:dyDescent="0.2">
      <c r="A30">
        <v>17</v>
      </c>
      <c r="B30">
        <v>1</v>
      </c>
      <c r="C30">
        <f>ROW(SmtRes!A3)</f>
        <v>3</v>
      </c>
      <c r="D30">
        <f>ROW(EtalonRes!A3)</f>
        <v>3</v>
      </c>
      <c r="E30" t="s">
        <v>35</v>
      </c>
      <c r="F30" t="s">
        <v>36</v>
      </c>
      <c r="G30" t="s">
        <v>37</v>
      </c>
      <c r="H30" t="s">
        <v>26</v>
      </c>
      <c r="I30">
        <f>ROUND(I28*0.3,9)</f>
        <v>7.0199999999999999E-2</v>
      </c>
      <c r="J30">
        <v>0</v>
      </c>
      <c r="O30">
        <f t="shared" si="21"/>
        <v>2768</v>
      </c>
      <c r="P30">
        <f t="shared" si="22"/>
        <v>0</v>
      </c>
      <c r="Q30">
        <f t="shared" si="23"/>
        <v>2768</v>
      </c>
      <c r="R30">
        <f t="shared" si="24"/>
        <v>2186.15</v>
      </c>
      <c r="S30">
        <f t="shared" si="25"/>
        <v>0</v>
      </c>
      <c r="T30">
        <f t="shared" si="26"/>
        <v>0</v>
      </c>
      <c r="U30">
        <f t="shared" si="27"/>
        <v>0</v>
      </c>
      <c r="V30">
        <f t="shared" si="28"/>
        <v>0</v>
      </c>
      <c r="W30">
        <f t="shared" si="29"/>
        <v>0</v>
      </c>
      <c r="X30">
        <f t="shared" si="30"/>
        <v>0</v>
      </c>
      <c r="Y30">
        <f t="shared" si="30"/>
        <v>0</v>
      </c>
      <c r="AA30">
        <v>23689695</v>
      </c>
      <c r="AB30">
        <f t="shared" si="31"/>
        <v>2033.46</v>
      </c>
      <c r="AC30">
        <f t="shared" si="32"/>
        <v>0</v>
      </c>
      <c r="AD30">
        <f t="shared" si="33"/>
        <v>2033.46</v>
      </c>
      <c r="AE30">
        <f t="shared" si="34"/>
        <v>1198.3399999999999</v>
      </c>
      <c r="AF30">
        <f t="shared" si="34"/>
        <v>0</v>
      </c>
      <c r="AG30">
        <f t="shared" si="35"/>
        <v>0</v>
      </c>
      <c r="AH30">
        <f t="shared" si="36"/>
        <v>0</v>
      </c>
      <c r="AI30">
        <f t="shared" si="36"/>
        <v>0</v>
      </c>
      <c r="AJ30">
        <f t="shared" si="37"/>
        <v>0</v>
      </c>
      <c r="AK30">
        <v>2033.46</v>
      </c>
      <c r="AL30">
        <v>0</v>
      </c>
      <c r="AM30">
        <v>2033.46</v>
      </c>
      <c r="AN30">
        <v>1198.3399999999999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73</v>
      </c>
      <c r="AU30">
        <v>41</v>
      </c>
      <c r="AV30">
        <v>1.0469999999999999</v>
      </c>
      <c r="AW30">
        <v>1</v>
      </c>
      <c r="AZ30">
        <v>1</v>
      </c>
      <c r="BA30">
        <v>24.82</v>
      </c>
      <c r="BB30">
        <v>18.52</v>
      </c>
      <c r="BC30">
        <v>1</v>
      </c>
      <c r="BD30" t="s">
        <v>3</v>
      </c>
      <c r="BE30" t="s">
        <v>3</v>
      </c>
      <c r="BF30" t="s">
        <v>3</v>
      </c>
      <c r="BG30" t="s">
        <v>3</v>
      </c>
      <c r="BH30">
        <v>0</v>
      </c>
      <c r="BI30">
        <v>1</v>
      </c>
      <c r="BJ30" t="s">
        <v>38</v>
      </c>
      <c r="BM30">
        <v>17</v>
      </c>
      <c r="BN30">
        <v>0</v>
      </c>
      <c r="BO30" t="s">
        <v>36</v>
      </c>
      <c r="BP30">
        <v>1</v>
      </c>
      <c r="BQ30">
        <v>30</v>
      </c>
      <c r="BR30">
        <v>0</v>
      </c>
      <c r="BS30">
        <v>24.82</v>
      </c>
      <c r="BT30">
        <v>1</v>
      </c>
      <c r="BU30">
        <v>1</v>
      </c>
      <c r="BV30">
        <v>1</v>
      </c>
      <c r="BW30">
        <v>1</v>
      </c>
      <c r="BX30">
        <v>1</v>
      </c>
      <c r="BY30" t="s">
        <v>3</v>
      </c>
      <c r="BZ30">
        <v>73</v>
      </c>
      <c r="CA30">
        <v>41</v>
      </c>
      <c r="CE30">
        <v>30</v>
      </c>
      <c r="CF30">
        <v>0</v>
      </c>
      <c r="CG30">
        <v>0</v>
      </c>
      <c r="CM30">
        <v>0</v>
      </c>
      <c r="CN30" t="s">
        <v>3</v>
      </c>
      <c r="CO30">
        <v>0</v>
      </c>
      <c r="CP30">
        <f t="shared" si="38"/>
        <v>2768</v>
      </c>
      <c r="CQ30">
        <f t="shared" si="39"/>
        <v>0</v>
      </c>
      <c r="CR30">
        <f t="shared" si="40"/>
        <v>39429.64</v>
      </c>
      <c r="CS30">
        <f t="shared" si="41"/>
        <v>31140.66</v>
      </c>
      <c r="CT30">
        <f t="shared" si="42"/>
        <v>0</v>
      </c>
      <c r="CU30">
        <f t="shared" si="43"/>
        <v>0</v>
      </c>
      <c r="CV30">
        <f t="shared" si="44"/>
        <v>0</v>
      </c>
      <c r="CW30">
        <f t="shared" si="45"/>
        <v>0</v>
      </c>
      <c r="CX30">
        <f t="shared" si="45"/>
        <v>0</v>
      </c>
      <c r="CY30">
        <f t="shared" si="46"/>
        <v>0</v>
      </c>
      <c r="CZ30">
        <f t="shared" si="47"/>
        <v>0</v>
      </c>
      <c r="DC30" t="s">
        <v>3</v>
      </c>
      <c r="DD30" t="s">
        <v>3</v>
      </c>
      <c r="DE30" t="s">
        <v>3</v>
      </c>
      <c r="DF30" t="s">
        <v>3</v>
      </c>
      <c r="DG30" t="s">
        <v>3</v>
      </c>
      <c r="DH30" t="s">
        <v>3</v>
      </c>
      <c r="DI30" t="s">
        <v>3</v>
      </c>
      <c r="DJ30" t="s">
        <v>3</v>
      </c>
      <c r="DK30" t="s">
        <v>3</v>
      </c>
      <c r="DL30" t="s">
        <v>3</v>
      </c>
      <c r="DM30" t="s">
        <v>3</v>
      </c>
      <c r="DN30">
        <v>91</v>
      </c>
      <c r="DO30">
        <v>70</v>
      </c>
      <c r="DP30">
        <v>1.0469999999999999</v>
      </c>
      <c r="DQ30">
        <v>1</v>
      </c>
      <c r="DU30">
        <v>1007</v>
      </c>
      <c r="DV30" t="s">
        <v>26</v>
      </c>
      <c r="DW30" t="s">
        <v>26</v>
      </c>
      <c r="DX30">
        <v>100</v>
      </c>
      <c r="DZ30" t="s">
        <v>3</v>
      </c>
      <c r="EA30" t="s">
        <v>3</v>
      </c>
      <c r="EB30" t="s">
        <v>3</v>
      </c>
      <c r="EC30" t="s">
        <v>3</v>
      </c>
      <c r="EE30">
        <v>22826858</v>
      </c>
      <c r="EF30">
        <v>30</v>
      </c>
      <c r="EG30" t="s">
        <v>28</v>
      </c>
      <c r="EH30">
        <v>0</v>
      </c>
      <c r="EI30" t="s">
        <v>3</v>
      </c>
      <c r="EJ30">
        <v>1</v>
      </c>
      <c r="EK30">
        <v>17</v>
      </c>
      <c r="EL30" t="s">
        <v>39</v>
      </c>
      <c r="EM30" t="s">
        <v>40</v>
      </c>
      <c r="EO30" t="s">
        <v>3</v>
      </c>
      <c r="EQ30">
        <v>0</v>
      </c>
      <c r="ER30">
        <v>2033.46</v>
      </c>
      <c r="ES30">
        <v>0</v>
      </c>
      <c r="ET30">
        <v>2033.46</v>
      </c>
      <c r="EU30">
        <v>1198.3399999999999</v>
      </c>
      <c r="EV30">
        <v>0</v>
      </c>
      <c r="EW30">
        <v>0</v>
      </c>
      <c r="EX30">
        <v>0</v>
      </c>
      <c r="EY30">
        <v>0</v>
      </c>
      <c r="FQ30">
        <v>0</v>
      </c>
      <c r="FR30">
        <f t="shared" si="48"/>
        <v>0</v>
      </c>
      <c r="FS30">
        <v>0</v>
      </c>
      <c r="FX30">
        <v>91</v>
      </c>
      <c r="FY30">
        <v>70</v>
      </c>
      <c r="GA30" t="s">
        <v>3</v>
      </c>
      <c r="GD30">
        <v>0</v>
      </c>
      <c r="GF30">
        <v>318891262</v>
      </c>
      <c r="GG30">
        <v>2</v>
      </c>
      <c r="GH30">
        <v>1</v>
      </c>
      <c r="GI30">
        <v>2</v>
      </c>
      <c r="GJ30">
        <v>0</v>
      </c>
      <c r="GK30">
        <f>ROUND(R30*(R12)/100,2)</f>
        <v>3432.26</v>
      </c>
      <c r="GL30">
        <f t="shared" si="49"/>
        <v>0</v>
      </c>
      <c r="GM30">
        <f t="shared" si="50"/>
        <v>6200.26</v>
      </c>
      <c r="GN30">
        <f t="shared" si="51"/>
        <v>6200.26</v>
      </c>
      <c r="GO30">
        <f t="shared" si="52"/>
        <v>0</v>
      </c>
      <c r="GP30">
        <f t="shared" si="53"/>
        <v>0</v>
      </c>
      <c r="GR30">
        <v>0</v>
      </c>
      <c r="GS30">
        <v>0</v>
      </c>
      <c r="GT30">
        <v>0</v>
      </c>
      <c r="GU30" t="s">
        <v>3</v>
      </c>
      <c r="GV30">
        <f t="shared" si="54"/>
        <v>0</v>
      </c>
      <c r="GW30">
        <v>1</v>
      </c>
      <c r="GX30">
        <f t="shared" si="55"/>
        <v>0</v>
      </c>
      <c r="HA30">
        <v>0</v>
      </c>
      <c r="HB30">
        <v>0</v>
      </c>
      <c r="HC30">
        <f t="shared" si="56"/>
        <v>0</v>
      </c>
      <c r="HE30" t="s">
        <v>3</v>
      </c>
      <c r="HF30" t="s">
        <v>3</v>
      </c>
      <c r="IK30">
        <v>0</v>
      </c>
    </row>
    <row r="31" spans="1:245" x14ac:dyDescent="0.2">
      <c r="A31">
        <v>17</v>
      </c>
      <c r="B31">
        <v>1</v>
      </c>
      <c r="E31" t="s">
        <v>41</v>
      </c>
      <c r="F31" t="s">
        <v>42</v>
      </c>
      <c r="G31" t="s">
        <v>43</v>
      </c>
      <c r="H31" t="s">
        <v>44</v>
      </c>
      <c r="I31">
        <f>ROUND(65/100*1.15,9)</f>
        <v>0.74750000000000005</v>
      </c>
      <c r="J31">
        <v>0</v>
      </c>
      <c r="O31">
        <f t="shared" si="21"/>
        <v>4241.99</v>
      </c>
      <c r="P31">
        <f t="shared" si="22"/>
        <v>2.38</v>
      </c>
      <c r="Q31">
        <f t="shared" si="23"/>
        <v>2755.62</v>
      </c>
      <c r="R31">
        <f t="shared" si="24"/>
        <v>1778.6</v>
      </c>
      <c r="S31">
        <f t="shared" si="25"/>
        <v>1483.99</v>
      </c>
      <c r="T31">
        <f t="shared" si="26"/>
        <v>0</v>
      </c>
      <c r="U31">
        <f t="shared" si="27"/>
        <v>4.8493016000000004</v>
      </c>
      <c r="V31">
        <f t="shared" si="28"/>
        <v>0</v>
      </c>
      <c r="W31">
        <f t="shared" si="29"/>
        <v>0</v>
      </c>
      <c r="X31">
        <f t="shared" si="30"/>
        <v>1142.67</v>
      </c>
      <c r="Y31">
        <f t="shared" si="30"/>
        <v>608.44000000000005</v>
      </c>
      <c r="AA31">
        <v>23689695</v>
      </c>
      <c r="AB31">
        <f t="shared" si="31"/>
        <v>462.43</v>
      </c>
      <c r="AC31">
        <f t="shared" si="32"/>
        <v>0.56000000000000005</v>
      </c>
      <c r="AD31">
        <f t="shared" si="33"/>
        <v>386.9</v>
      </c>
      <c r="AE31">
        <f t="shared" si="34"/>
        <v>89.85</v>
      </c>
      <c r="AF31">
        <f t="shared" si="34"/>
        <v>74.97</v>
      </c>
      <c r="AG31">
        <f t="shared" si="35"/>
        <v>0</v>
      </c>
      <c r="AH31">
        <f t="shared" si="36"/>
        <v>6.08</v>
      </c>
      <c r="AI31">
        <f t="shared" si="36"/>
        <v>0</v>
      </c>
      <c r="AJ31">
        <f t="shared" si="37"/>
        <v>0</v>
      </c>
      <c r="AK31">
        <v>462.43</v>
      </c>
      <c r="AL31">
        <v>0.56000000000000005</v>
      </c>
      <c r="AM31">
        <v>386.9</v>
      </c>
      <c r="AN31">
        <v>89.85</v>
      </c>
      <c r="AO31">
        <v>74.97</v>
      </c>
      <c r="AP31">
        <v>0</v>
      </c>
      <c r="AQ31">
        <v>6.08</v>
      </c>
      <c r="AR31">
        <v>0</v>
      </c>
      <c r="AS31">
        <v>0</v>
      </c>
      <c r="AT31">
        <v>77</v>
      </c>
      <c r="AU31">
        <v>41</v>
      </c>
      <c r="AV31">
        <v>1.0669999999999999</v>
      </c>
      <c r="AW31">
        <v>1.081</v>
      </c>
      <c r="AZ31">
        <v>1</v>
      </c>
      <c r="BA31">
        <v>24.82</v>
      </c>
      <c r="BB31">
        <v>8.93</v>
      </c>
      <c r="BC31">
        <v>5.29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2</v>
      </c>
      <c r="BJ31" t="s">
        <v>45</v>
      </c>
      <c r="BM31">
        <v>318</v>
      </c>
      <c r="BN31">
        <v>0</v>
      </c>
      <c r="BO31" t="s">
        <v>42</v>
      </c>
      <c r="BP31">
        <v>1</v>
      </c>
      <c r="BQ31">
        <v>40</v>
      </c>
      <c r="BR31">
        <v>0</v>
      </c>
      <c r="BS31">
        <v>24.82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77</v>
      </c>
      <c r="CA31">
        <v>41</v>
      </c>
      <c r="CE31">
        <v>30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8"/>
        <v>4241.99</v>
      </c>
      <c r="CQ31">
        <f t="shared" si="39"/>
        <v>3.23</v>
      </c>
      <c r="CR31">
        <f t="shared" si="40"/>
        <v>3686.48</v>
      </c>
      <c r="CS31">
        <f t="shared" si="41"/>
        <v>2379.4899999999998</v>
      </c>
      <c r="CT31">
        <f t="shared" si="42"/>
        <v>1985.35</v>
      </c>
      <c r="CU31">
        <f t="shared" si="43"/>
        <v>0</v>
      </c>
      <c r="CV31">
        <f t="shared" si="44"/>
        <v>6.4873599999999998</v>
      </c>
      <c r="CW31">
        <f t="shared" si="45"/>
        <v>0</v>
      </c>
      <c r="CX31">
        <f t="shared" si="45"/>
        <v>0</v>
      </c>
      <c r="CY31">
        <f t="shared" si="46"/>
        <v>1142.6723</v>
      </c>
      <c r="CZ31">
        <f t="shared" si="47"/>
        <v>608.43589999999995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114</v>
      </c>
      <c r="DO31">
        <v>67</v>
      </c>
      <c r="DP31">
        <v>1.0669999999999999</v>
      </c>
      <c r="DQ31">
        <v>1.081</v>
      </c>
      <c r="DU31">
        <v>1003</v>
      </c>
      <c r="DV31" t="s">
        <v>44</v>
      </c>
      <c r="DW31" t="s">
        <v>44</v>
      </c>
      <c r="DX31">
        <v>100</v>
      </c>
      <c r="DZ31" t="s">
        <v>3</v>
      </c>
      <c r="EA31" t="s">
        <v>3</v>
      </c>
      <c r="EB31" t="s">
        <v>3</v>
      </c>
      <c r="EC31" t="s">
        <v>3</v>
      </c>
      <c r="EE31">
        <v>22827159</v>
      </c>
      <c r="EF31">
        <v>40</v>
      </c>
      <c r="EG31" t="s">
        <v>46</v>
      </c>
      <c r="EH31">
        <v>0</v>
      </c>
      <c r="EI31" t="s">
        <v>3</v>
      </c>
      <c r="EJ31">
        <v>2</v>
      </c>
      <c r="EK31">
        <v>318</v>
      </c>
      <c r="EL31" t="s">
        <v>47</v>
      </c>
      <c r="EM31" t="s">
        <v>48</v>
      </c>
      <c r="EO31" t="s">
        <v>3</v>
      </c>
      <c r="EQ31">
        <v>0</v>
      </c>
      <c r="ER31">
        <v>462.43</v>
      </c>
      <c r="ES31">
        <v>0.56000000000000005</v>
      </c>
      <c r="ET31">
        <v>386.9</v>
      </c>
      <c r="EU31">
        <v>89.85</v>
      </c>
      <c r="EV31">
        <v>74.97</v>
      </c>
      <c r="EW31">
        <v>6.08</v>
      </c>
      <c r="EX31">
        <v>0</v>
      </c>
      <c r="EY31">
        <v>0</v>
      </c>
      <c r="FQ31">
        <v>0</v>
      </c>
      <c r="FR31">
        <f t="shared" si="48"/>
        <v>0</v>
      </c>
      <c r="FS31">
        <v>0</v>
      </c>
      <c r="FX31">
        <v>114</v>
      </c>
      <c r="FY31">
        <v>67</v>
      </c>
      <c r="GA31" t="s">
        <v>3</v>
      </c>
      <c r="GD31">
        <v>0</v>
      </c>
      <c r="GF31">
        <v>-1499495025</v>
      </c>
      <c r="GG31">
        <v>2</v>
      </c>
      <c r="GH31">
        <v>1</v>
      </c>
      <c r="GI31">
        <v>2</v>
      </c>
      <c r="GJ31">
        <v>0</v>
      </c>
      <c r="GK31">
        <f>ROUND(R31*(R12)/100,2)</f>
        <v>2792.4</v>
      </c>
      <c r="GL31">
        <f t="shared" si="49"/>
        <v>0</v>
      </c>
      <c r="GM31">
        <f t="shared" si="50"/>
        <v>8785.5</v>
      </c>
      <c r="GN31">
        <f t="shared" si="51"/>
        <v>0</v>
      </c>
      <c r="GO31">
        <f t="shared" si="52"/>
        <v>8785.5</v>
      </c>
      <c r="GP31">
        <f t="shared" si="53"/>
        <v>0</v>
      </c>
      <c r="GR31">
        <v>0</v>
      </c>
      <c r="GS31">
        <v>0</v>
      </c>
      <c r="GT31">
        <v>0</v>
      </c>
      <c r="GU31" t="s">
        <v>3</v>
      </c>
      <c r="GV31">
        <f t="shared" si="54"/>
        <v>0</v>
      </c>
      <c r="GW31">
        <v>1</v>
      </c>
      <c r="GX31">
        <f t="shared" si="55"/>
        <v>0</v>
      </c>
      <c r="HA31">
        <v>0</v>
      </c>
      <c r="HB31">
        <v>0</v>
      </c>
      <c r="HC31">
        <f t="shared" si="56"/>
        <v>0</v>
      </c>
      <c r="HE31" t="s">
        <v>3</v>
      </c>
      <c r="HF31" t="s">
        <v>3</v>
      </c>
      <c r="IK31">
        <v>0</v>
      </c>
    </row>
    <row r="32" spans="1:245" x14ac:dyDescent="0.2">
      <c r="A32">
        <v>17</v>
      </c>
      <c r="B32">
        <v>1</v>
      </c>
      <c r="C32">
        <f>ROW(SmtRes!A5)</f>
        <v>5</v>
      </c>
      <c r="D32">
        <f>ROW(EtalonRes!A6)</f>
        <v>6</v>
      </c>
      <c r="E32" t="s">
        <v>49</v>
      </c>
      <c r="F32" t="s">
        <v>50</v>
      </c>
      <c r="G32" t="s">
        <v>51</v>
      </c>
      <c r="H32" t="s">
        <v>52</v>
      </c>
      <c r="I32">
        <f>ROUND(0.012,9)</f>
        <v>1.2E-2</v>
      </c>
      <c r="J32">
        <v>0</v>
      </c>
      <c r="O32">
        <f t="shared" si="21"/>
        <v>475.64</v>
      </c>
      <c r="P32">
        <f t="shared" si="22"/>
        <v>3.07</v>
      </c>
      <c r="Q32">
        <f t="shared" si="23"/>
        <v>0</v>
      </c>
      <c r="R32">
        <f t="shared" si="24"/>
        <v>0</v>
      </c>
      <c r="S32">
        <f t="shared" si="25"/>
        <v>472.57</v>
      </c>
      <c r="T32">
        <f t="shared" si="26"/>
        <v>0</v>
      </c>
      <c r="U32">
        <f t="shared" si="27"/>
        <v>1.7029320000000001</v>
      </c>
      <c r="V32">
        <f t="shared" si="28"/>
        <v>0</v>
      </c>
      <c r="W32">
        <f t="shared" si="29"/>
        <v>0</v>
      </c>
      <c r="X32">
        <f t="shared" si="30"/>
        <v>425.31</v>
      </c>
      <c r="Y32">
        <f t="shared" si="30"/>
        <v>193.75</v>
      </c>
      <c r="AA32">
        <v>23689695</v>
      </c>
      <c r="AB32">
        <f t="shared" si="31"/>
        <v>1531.32</v>
      </c>
      <c r="AC32">
        <f t="shared" si="32"/>
        <v>44.38</v>
      </c>
      <c r="AD32">
        <f t="shared" si="33"/>
        <v>0</v>
      </c>
      <c r="AE32">
        <f t="shared" si="34"/>
        <v>0</v>
      </c>
      <c r="AF32">
        <f t="shared" si="34"/>
        <v>1486.94</v>
      </c>
      <c r="AG32">
        <f t="shared" si="35"/>
        <v>0</v>
      </c>
      <c r="AH32">
        <f t="shared" si="36"/>
        <v>133</v>
      </c>
      <c r="AI32">
        <f t="shared" si="36"/>
        <v>0</v>
      </c>
      <c r="AJ32">
        <f t="shared" si="37"/>
        <v>0</v>
      </c>
      <c r="AK32">
        <v>1531.32</v>
      </c>
      <c r="AL32">
        <v>44.38</v>
      </c>
      <c r="AM32">
        <v>0</v>
      </c>
      <c r="AN32">
        <v>0</v>
      </c>
      <c r="AO32">
        <v>1486.94</v>
      </c>
      <c r="AP32">
        <v>0</v>
      </c>
      <c r="AQ32">
        <v>133</v>
      </c>
      <c r="AR32">
        <v>0</v>
      </c>
      <c r="AS32">
        <v>0</v>
      </c>
      <c r="AT32">
        <v>90</v>
      </c>
      <c r="AU32">
        <v>41</v>
      </c>
      <c r="AV32">
        <v>1.0669999999999999</v>
      </c>
      <c r="AW32">
        <v>1.081</v>
      </c>
      <c r="AZ32">
        <v>1</v>
      </c>
      <c r="BA32">
        <v>24.82</v>
      </c>
      <c r="BB32">
        <v>1</v>
      </c>
      <c r="BC32">
        <v>5.29</v>
      </c>
      <c r="BD32" t="s">
        <v>3</v>
      </c>
      <c r="BE32" t="s">
        <v>3</v>
      </c>
      <c r="BF32" t="s">
        <v>3</v>
      </c>
      <c r="BG32" t="s">
        <v>3</v>
      </c>
      <c r="BH32">
        <v>0</v>
      </c>
      <c r="BI32">
        <v>1</v>
      </c>
      <c r="BJ32" t="s">
        <v>53</v>
      </c>
      <c r="BM32">
        <v>242</v>
      </c>
      <c r="BN32">
        <v>0</v>
      </c>
      <c r="BO32" t="s">
        <v>50</v>
      </c>
      <c r="BP32">
        <v>1</v>
      </c>
      <c r="BQ32">
        <v>30</v>
      </c>
      <c r="BR32">
        <v>0</v>
      </c>
      <c r="BS32">
        <v>24.82</v>
      </c>
      <c r="BT32">
        <v>1</v>
      </c>
      <c r="BU32">
        <v>1</v>
      </c>
      <c r="BV32">
        <v>1</v>
      </c>
      <c r="BW32">
        <v>1</v>
      </c>
      <c r="BX32">
        <v>1</v>
      </c>
      <c r="BY32" t="s">
        <v>3</v>
      </c>
      <c r="BZ32">
        <v>90</v>
      </c>
      <c r="CA32">
        <v>41</v>
      </c>
      <c r="CE32">
        <v>30</v>
      </c>
      <c r="CF32">
        <v>0</v>
      </c>
      <c r="CG32">
        <v>0</v>
      </c>
      <c r="CM32">
        <v>0</v>
      </c>
      <c r="CN32" t="s">
        <v>3</v>
      </c>
      <c r="CO32">
        <v>0</v>
      </c>
      <c r="CP32">
        <f t="shared" si="38"/>
        <v>475.64</v>
      </c>
      <c r="CQ32">
        <f t="shared" si="39"/>
        <v>253.76</v>
      </c>
      <c r="CR32">
        <f t="shared" si="40"/>
        <v>0</v>
      </c>
      <c r="CS32">
        <f t="shared" si="41"/>
        <v>0</v>
      </c>
      <c r="CT32">
        <f t="shared" si="42"/>
        <v>39378.42</v>
      </c>
      <c r="CU32">
        <f t="shared" si="43"/>
        <v>0</v>
      </c>
      <c r="CV32">
        <f t="shared" si="44"/>
        <v>141.911</v>
      </c>
      <c r="CW32">
        <f t="shared" si="45"/>
        <v>0</v>
      </c>
      <c r="CX32">
        <f t="shared" si="45"/>
        <v>0</v>
      </c>
      <c r="CY32">
        <f t="shared" si="46"/>
        <v>425.31299999999999</v>
      </c>
      <c r="CZ32">
        <f t="shared" si="47"/>
        <v>193.75369999999998</v>
      </c>
      <c r="DC32" t="s">
        <v>3</v>
      </c>
      <c r="DD32" t="s">
        <v>3</v>
      </c>
      <c r="DE32" t="s">
        <v>3</v>
      </c>
      <c r="DF32" t="s">
        <v>3</v>
      </c>
      <c r="DG32" t="s">
        <v>3</v>
      </c>
      <c r="DH32" t="s">
        <v>3</v>
      </c>
      <c r="DI32" t="s">
        <v>3</v>
      </c>
      <c r="DJ32" t="s">
        <v>3</v>
      </c>
      <c r="DK32" t="s">
        <v>3</v>
      </c>
      <c r="DL32" t="s">
        <v>3</v>
      </c>
      <c r="DM32" t="s">
        <v>3</v>
      </c>
      <c r="DN32">
        <v>112</v>
      </c>
      <c r="DO32">
        <v>70</v>
      </c>
      <c r="DP32">
        <v>1.0669999999999999</v>
      </c>
      <c r="DQ32">
        <v>1.081</v>
      </c>
      <c r="DU32">
        <v>1003</v>
      </c>
      <c r="DV32" t="s">
        <v>52</v>
      </c>
      <c r="DW32" t="s">
        <v>52</v>
      </c>
      <c r="DX32">
        <v>1000</v>
      </c>
      <c r="DZ32" t="s">
        <v>3</v>
      </c>
      <c r="EA32" t="s">
        <v>3</v>
      </c>
      <c r="EB32" t="s">
        <v>3</v>
      </c>
      <c r="EC32" t="s">
        <v>3</v>
      </c>
      <c r="EE32">
        <v>22827083</v>
      </c>
      <c r="EF32">
        <v>30</v>
      </c>
      <c r="EG32" t="s">
        <v>28</v>
      </c>
      <c r="EH32">
        <v>0</v>
      </c>
      <c r="EI32" t="s">
        <v>3</v>
      </c>
      <c r="EJ32">
        <v>1</v>
      </c>
      <c r="EK32">
        <v>242</v>
      </c>
      <c r="EL32" t="s">
        <v>54</v>
      </c>
      <c r="EM32" t="s">
        <v>55</v>
      </c>
      <c r="EO32" t="s">
        <v>3</v>
      </c>
      <c r="EQ32">
        <v>0</v>
      </c>
      <c r="ER32">
        <v>1531.32</v>
      </c>
      <c r="ES32">
        <v>44.38</v>
      </c>
      <c r="ET32">
        <v>0</v>
      </c>
      <c r="EU32">
        <v>0</v>
      </c>
      <c r="EV32">
        <v>1486.94</v>
      </c>
      <c r="EW32">
        <v>133</v>
      </c>
      <c r="EX32">
        <v>0</v>
      </c>
      <c r="EY32">
        <v>0</v>
      </c>
      <c r="FQ32">
        <v>0</v>
      </c>
      <c r="FR32">
        <f t="shared" si="48"/>
        <v>0</v>
      </c>
      <c r="FS32">
        <v>0</v>
      </c>
      <c r="FX32">
        <v>112</v>
      </c>
      <c r="FY32">
        <v>70</v>
      </c>
      <c r="GA32" t="s">
        <v>3</v>
      </c>
      <c r="GD32">
        <v>0</v>
      </c>
      <c r="GF32">
        <v>-256103847</v>
      </c>
      <c r="GG32">
        <v>2</v>
      </c>
      <c r="GH32">
        <v>1</v>
      </c>
      <c r="GI32">
        <v>2</v>
      </c>
      <c r="GJ32">
        <v>0</v>
      </c>
      <c r="GK32">
        <f>ROUND(R32*(R12)/100,2)</f>
        <v>0</v>
      </c>
      <c r="GL32">
        <f t="shared" si="49"/>
        <v>0</v>
      </c>
      <c r="GM32">
        <f t="shared" si="50"/>
        <v>1094.7</v>
      </c>
      <c r="GN32">
        <f t="shared" si="51"/>
        <v>1094.7</v>
      </c>
      <c r="GO32">
        <f t="shared" si="52"/>
        <v>0</v>
      </c>
      <c r="GP32">
        <f t="shared" si="53"/>
        <v>0</v>
      </c>
      <c r="GR32">
        <v>0</v>
      </c>
      <c r="GS32">
        <v>0</v>
      </c>
      <c r="GT32">
        <v>0</v>
      </c>
      <c r="GU32" t="s">
        <v>3</v>
      </c>
      <c r="GV32">
        <f t="shared" si="54"/>
        <v>0</v>
      </c>
      <c r="GW32">
        <v>1</v>
      </c>
      <c r="GX32">
        <f t="shared" si="55"/>
        <v>0</v>
      </c>
      <c r="HA32">
        <v>0</v>
      </c>
      <c r="HB32">
        <v>0</v>
      </c>
      <c r="HC32">
        <f t="shared" si="56"/>
        <v>0</v>
      </c>
      <c r="HE32" t="s">
        <v>3</v>
      </c>
      <c r="HF32" t="s">
        <v>3</v>
      </c>
      <c r="IK32">
        <v>0</v>
      </c>
    </row>
    <row r="33" spans="1:245" x14ac:dyDescent="0.2">
      <c r="A33">
        <v>17</v>
      </c>
      <c r="B33">
        <v>1</v>
      </c>
      <c r="C33">
        <f>ROW(SmtRes!A6)</f>
        <v>6</v>
      </c>
      <c r="D33">
        <f>ROW(EtalonRes!A7)</f>
        <v>7</v>
      </c>
      <c r="E33" t="s">
        <v>56</v>
      </c>
      <c r="F33" t="s">
        <v>57</v>
      </c>
      <c r="G33" t="s">
        <v>58</v>
      </c>
      <c r="H33" t="s">
        <v>44</v>
      </c>
      <c r="I33">
        <f>ROUND(65/100,9)</f>
        <v>0.65</v>
      </c>
      <c r="J33">
        <v>0</v>
      </c>
      <c r="O33">
        <f t="shared" si="21"/>
        <v>809.52</v>
      </c>
      <c r="P33">
        <f t="shared" si="22"/>
        <v>0</v>
      </c>
      <c r="Q33">
        <f t="shared" si="23"/>
        <v>55.49</v>
      </c>
      <c r="R33">
        <f t="shared" si="24"/>
        <v>33.26</v>
      </c>
      <c r="S33">
        <f t="shared" si="25"/>
        <v>754.03</v>
      </c>
      <c r="T33">
        <f t="shared" si="26"/>
        <v>0</v>
      </c>
      <c r="U33">
        <f t="shared" si="27"/>
        <v>2.8851680000000002</v>
      </c>
      <c r="V33">
        <f t="shared" si="28"/>
        <v>0</v>
      </c>
      <c r="W33">
        <f t="shared" si="29"/>
        <v>0</v>
      </c>
      <c r="X33">
        <f t="shared" si="30"/>
        <v>580.6</v>
      </c>
      <c r="Y33">
        <f t="shared" si="30"/>
        <v>309.14999999999998</v>
      </c>
      <c r="AA33">
        <v>23689695</v>
      </c>
      <c r="AB33">
        <f t="shared" si="31"/>
        <v>51.99</v>
      </c>
      <c r="AC33">
        <f t="shared" si="32"/>
        <v>0</v>
      </c>
      <c r="AD33">
        <f t="shared" si="33"/>
        <v>8.19</v>
      </c>
      <c r="AE33">
        <f t="shared" si="34"/>
        <v>1.93</v>
      </c>
      <c r="AF33">
        <f t="shared" si="34"/>
        <v>43.8</v>
      </c>
      <c r="AG33">
        <f t="shared" si="35"/>
        <v>0</v>
      </c>
      <c r="AH33">
        <f t="shared" si="36"/>
        <v>4.16</v>
      </c>
      <c r="AI33">
        <f t="shared" si="36"/>
        <v>0</v>
      </c>
      <c r="AJ33">
        <f t="shared" si="37"/>
        <v>0</v>
      </c>
      <c r="AK33">
        <v>51.99</v>
      </c>
      <c r="AL33">
        <v>0</v>
      </c>
      <c r="AM33">
        <v>8.19</v>
      </c>
      <c r="AN33">
        <v>1.93</v>
      </c>
      <c r="AO33">
        <v>43.8</v>
      </c>
      <c r="AP33">
        <v>0</v>
      </c>
      <c r="AQ33">
        <v>4.16</v>
      </c>
      <c r="AR33">
        <v>0</v>
      </c>
      <c r="AS33">
        <v>0</v>
      </c>
      <c r="AT33">
        <v>77</v>
      </c>
      <c r="AU33">
        <v>41</v>
      </c>
      <c r="AV33">
        <v>1.0669999999999999</v>
      </c>
      <c r="AW33">
        <v>1.081</v>
      </c>
      <c r="AZ33">
        <v>1</v>
      </c>
      <c r="BA33">
        <v>24.82</v>
      </c>
      <c r="BB33">
        <v>9.77</v>
      </c>
      <c r="BC33">
        <v>1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59</v>
      </c>
      <c r="BM33">
        <v>1517</v>
      </c>
      <c r="BN33">
        <v>0</v>
      </c>
      <c r="BO33" t="s">
        <v>57</v>
      </c>
      <c r="BP33">
        <v>1</v>
      </c>
      <c r="BQ33">
        <v>40</v>
      </c>
      <c r="BR33">
        <v>0</v>
      </c>
      <c r="BS33">
        <v>24.82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77</v>
      </c>
      <c r="CA33">
        <v>41</v>
      </c>
      <c r="CE33">
        <v>30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8"/>
        <v>809.52</v>
      </c>
      <c r="CQ33">
        <f t="shared" si="39"/>
        <v>0</v>
      </c>
      <c r="CR33">
        <f t="shared" si="40"/>
        <v>85.39</v>
      </c>
      <c r="CS33">
        <f t="shared" si="41"/>
        <v>51.13</v>
      </c>
      <c r="CT33">
        <f t="shared" si="42"/>
        <v>1159.8399999999999</v>
      </c>
      <c r="CU33">
        <f t="shared" si="43"/>
        <v>0</v>
      </c>
      <c r="CV33">
        <f t="shared" si="44"/>
        <v>4.43872</v>
      </c>
      <c r="CW33">
        <f t="shared" si="45"/>
        <v>0</v>
      </c>
      <c r="CX33">
        <f t="shared" si="45"/>
        <v>0</v>
      </c>
      <c r="CY33">
        <f t="shared" si="46"/>
        <v>580.60310000000004</v>
      </c>
      <c r="CZ33">
        <f t="shared" si="47"/>
        <v>309.15229999999997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114</v>
      </c>
      <c r="DO33">
        <v>67</v>
      </c>
      <c r="DP33">
        <v>1.0669999999999999</v>
      </c>
      <c r="DQ33">
        <v>1.081</v>
      </c>
      <c r="DU33">
        <v>1003</v>
      </c>
      <c r="DV33" t="s">
        <v>44</v>
      </c>
      <c r="DW33" t="s">
        <v>44</v>
      </c>
      <c r="DX33">
        <v>100</v>
      </c>
      <c r="DZ33" t="s">
        <v>3</v>
      </c>
      <c r="EA33" t="s">
        <v>3</v>
      </c>
      <c r="EB33" t="s">
        <v>3</v>
      </c>
      <c r="EC33" t="s">
        <v>3</v>
      </c>
      <c r="EE33">
        <v>22828358</v>
      </c>
      <c r="EF33">
        <v>40</v>
      </c>
      <c r="EG33" t="s">
        <v>46</v>
      </c>
      <c r="EH33">
        <v>0</v>
      </c>
      <c r="EI33" t="s">
        <v>3</v>
      </c>
      <c r="EJ33">
        <v>2</v>
      </c>
      <c r="EK33">
        <v>1517</v>
      </c>
      <c r="EL33" t="s">
        <v>60</v>
      </c>
      <c r="EM33" t="s">
        <v>61</v>
      </c>
      <c r="EO33" t="s">
        <v>3</v>
      </c>
      <c r="EQ33">
        <v>0</v>
      </c>
      <c r="ER33">
        <v>51.99</v>
      </c>
      <c r="ES33">
        <v>0</v>
      </c>
      <c r="ET33">
        <v>8.19</v>
      </c>
      <c r="EU33">
        <v>1.93</v>
      </c>
      <c r="EV33">
        <v>43.8</v>
      </c>
      <c r="EW33">
        <v>4.16</v>
      </c>
      <c r="EX33">
        <v>0</v>
      </c>
      <c r="EY33">
        <v>0</v>
      </c>
      <c r="FQ33">
        <v>0</v>
      </c>
      <c r="FR33">
        <f t="shared" si="48"/>
        <v>0</v>
      </c>
      <c r="FS33">
        <v>0</v>
      </c>
      <c r="FX33">
        <v>114</v>
      </c>
      <c r="FY33">
        <v>67</v>
      </c>
      <c r="GA33" t="s">
        <v>3</v>
      </c>
      <c r="GD33">
        <v>0</v>
      </c>
      <c r="GF33">
        <v>-337782805</v>
      </c>
      <c r="GG33">
        <v>2</v>
      </c>
      <c r="GH33">
        <v>1</v>
      </c>
      <c r="GI33">
        <v>2</v>
      </c>
      <c r="GJ33">
        <v>0</v>
      </c>
      <c r="GK33">
        <f>ROUND(R33*(R12)/100,2)</f>
        <v>52.22</v>
      </c>
      <c r="GL33">
        <f t="shared" si="49"/>
        <v>0</v>
      </c>
      <c r="GM33">
        <f t="shared" si="50"/>
        <v>1751.49</v>
      </c>
      <c r="GN33">
        <f t="shared" si="51"/>
        <v>0</v>
      </c>
      <c r="GO33">
        <f t="shared" si="52"/>
        <v>1751.49</v>
      </c>
      <c r="GP33">
        <f t="shared" si="53"/>
        <v>0</v>
      </c>
      <c r="GR33">
        <v>0</v>
      </c>
      <c r="GS33">
        <v>3</v>
      </c>
      <c r="GT33">
        <v>0</v>
      </c>
      <c r="GU33" t="s">
        <v>3</v>
      </c>
      <c r="GV33">
        <f t="shared" si="54"/>
        <v>0</v>
      </c>
      <c r="GW33">
        <v>1</v>
      </c>
      <c r="GX33">
        <f t="shared" si="55"/>
        <v>0</v>
      </c>
      <c r="HA33">
        <v>0</v>
      </c>
      <c r="HB33">
        <v>0</v>
      </c>
      <c r="HC33">
        <f t="shared" si="56"/>
        <v>0</v>
      </c>
      <c r="HE33" t="s">
        <v>3</v>
      </c>
      <c r="HF33" t="s">
        <v>3</v>
      </c>
      <c r="IK33">
        <v>0</v>
      </c>
    </row>
    <row r="34" spans="1:245" x14ac:dyDescent="0.2">
      <c r="A34">
        <v>18</v>
      </c>
      <c r="B34">
        <v>1</v>
      </c>
      <c r="C34">
        <v>6</v>
      </c>
      <c r="E34" t="s">
        <v>62</v>
      </c>
      <c r="F34" t="s">
        <v>63</v>
      </c>
      <c r="G34" t="s">
        <v>64</v>
      </c>
      <c r="H34" t="s">
        <v>65</v>
      </c>
      <c r="I34">
        <f>I33*J34</f>
        <v>133.9</v>
      </c>
      <c r="J34">
        <v>206</v>
      </c>
      <c r="O34">
        <f t="shared" si="21"/>
        <v>8106.79</v>
      </c>
      <c r="P34">
        <f t="shared" si="22"/>
        <v>8106.79</v>
      </c>
      <c r="Q34">
        <f t="shared" si="23"/>
        <v>0</v>
      </c>
      <c r="R34">
        <f t="shared" si="24"/>
        <v>0</v>
      </c>
      <c r="S34">
        <f t="shared" si="25"/>
        <v>0</v>
      </c>
      <c r="T34">
        <f t="shared" si="26"/>
        <v>0</v>
      </c>
      <c r="U34">
        <f t="shared" si="27"/>
        <v>0</v>
      </c>
      <c r="V34">
        <f t="shared" si="28"/>
        <v>0</v>
      </c>
      <c r="W34">
        <f t="shared" si="29"/>
        <v>0</v>
      </c>
      <c r="X34">
        <f t="shared" si="30"/>
        <v>0</v>
      </c>
      <c r="Y34">
        <f t="shared" si="30"/>
        <v>0</v>
      </c>
      <c r="AA34">
        <v>23689695</v>
      </c>
      <c r="AB34">
        <f t="shared" si="31"/>
        <v>8.82</v>
      </c>
      <c r="AC34">
        <f t="shared" si="32"/>
        <v>8.82</v>
      </c>
      <c r="AD34">
        <f t="shared" si="33"/>
        <v>0</v>
      </c>
      <c r="AE34">
        <f t="shared" si="34"/>
        <v>0</v>
      </c>
      <c r="AF34">
        <f t="shared" si="34"/>
        <v>0</v>
      </c>
      <c r="AG34">
        <f t="shared" si="35"/>
        <v>0</v>
      </c>
      <c r="AH34">
        <f t="shared" si="36"/>
        <v>0</v>
      </c>
      <c r="AI34">
        <f t="shared" si="36"/>
        <v>0</v>
      </c>
      <c r="AJ34">
        <f t="shared" si="37"/>
        <v>0</v>
      </c>
      <c r="AK34">
        <v>8.82</v>
      </c>
      <c r="AL34">
        <v>8.82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1</v>
      </c>
      <c r="AW34">
        <v>1.081</v>
      </c>
      <c r="AZ34">
        <v>1</v>
      </c>
      <c r="BA34">
        <v>1</v>
      </c>
      <c r="BB34">
        <v>1</v>
      </c>
      <c r="BC34">
        <v>6.35</v>
      </c>
      <c r="BD34" t="s">
        <v>3</v>
      </c>
      <c r="BE34" t="s">
        <v>3</v>
      </c>
      <c r="BF34" t="s">
        <v>3</v>
      </c>
      <c r="BG34" t="s">
        <v>3</v>
      </c>
      <c r="BH34">
        <v>3</v>
      </c>
      <c r="BI34">
        <v>2</v>
      </c>
      <c r="BJ34" t="s">
        <v>66</v>
      </c>
      <c r="BM34">
        <v>1517</v>
      </c>
      <c r="BN34">
        <v>0</v>
      </c>
      <c r="BO34" t="s">
        <v>63</v>
      </c>
      <c r="BP34">
        <v>1</v>
      </c>
      <c r="BQ34">
        <v>40</v>
      </c>
      <c r="BR34">
        <v>0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Y34" t="s">
        <v>3</v>
      </c>
      <c r="BZ34">
        <v>0</v>
      </c>
      <c r="CA34">
        <v>0</v>
      </c>
      <c r="CE34">
        <v>30</v>
      </c>
      <c r="CF34">
        <v>0</v>
      </c>
      <c r="CG34">
        <v>0</v>
      </c>
      <c r="CM34">
        <v>0</v>
      </c>
      <c r="CN34" t="s">
        <v>3</v>
      </c>
      <c r="CO34">
        <v>0</v>
      </c>
      <c r="CP34">
        <f t="shared" si="38"/>
        <v>8106.79</v>
      </c>
      <c r="CQ34">
        <f t="shared" si="39"/>
        <v>60.52</v>
      </c>
      <c r="CR34">
        <f t="shared" si="40"/>
        <v>0</v>
      </c>
      <c r="CS34">
        <f t="shared" si="41"/>
        <v>0</v>
      </c>
      <c r="CT34">
        <f t="shared" si="42"/>
        <v>0</v>
      </c>
      <c r="CU34">
        <f t="shared" si="43"/>
        <v>0</v>
      </c>
      <c r="CV34">
        <f t="shared" si="44"/>
        <v>0</v>
      </c>
      <c r="CW34">
        <f t="shared" si="45"/>
        <v>0</v>
      </c>
      <c r="CX34">
        <f t="shared" si="45"/>
        <v>0</v>
      </c>
      <c r="CY34">
        <f t="shared" si="46"/>
        <v>0</v>
      </c>
      <c r="CZ34">
        <f t="shared" si="47"/>
        <v>0</v>
      </c>
      <c r="DC34" t="s">
        <v>3</v>
      </c>
      <c r="DD34" t="s">
        <v>3</v>
      </c>
      <c r="DE34" t="s">
        <v>3</v>
      </c>
      <c r="DF34" t="s">
        <v>3</v>
      </c>
      <c r="DG34" t="s">
        <v>3</v>
      </c>
      <c r="DH34" t="s">
        <v>3</v>
      </c>
      <c r="DI34" t="s">
        <v>3</v>
      </c>
      <c r="DJ34" t="s">
        <v>3</v>
      </c>
      <c r="DK34" t="s">
        <v>3</v>
      </c>
      <c r="DL34" t="s">
        <v>3</v>
      </c>
      <c r="DM34" t="s">
        <v>3</v>
      </c>
      <c r="DN34">
        <v>114</v>
      </c>
      <c r="DO34">
        <v>67</v>
      </c>
      <c r="DP34">
        <v>1.0669999999999999</v>
      </c>
      <c r="DQ34">
        <v>1.081</v>
      </c>
      <c r="DU34">
        <v>1010</v>
      </c>
      <c r="DV34" t="s">
        <v>65</v>
      </c>
      <c r="DW34" t="s">
        <v>65</v>
      </c>
      <c r="DX34">
        <v>1</v>
      </c>
      <c r="DZ34" t="s">
        <v>3</v>
      </c>
      <c r="EA34" t="s">
        <v>3</v>
      </c>
      <c r="EB34" t="s">
        <v>3</v>
      </c>
      <c r="EC34" t="s">
        <v>3</v>
      </c>
      <c r="EE34">
        <v>22828358</v>
      </c>
      <c r="EF34">
        <v>40</v>
      </c>
      <c r="EG34" t="s">
        <v>46</v>
      </c>
      <c r="EH34">
        <v>0</v>
      </c>
      <c r="EI34" t="s">
        <v>3</v>
      </c>
      <c r="EJ34">
        <v>2</v>
      </c>
      <c r="EK34">
        <v>1517</v>
      </c>
      <c r="EL34" t="s">
        <v>60</v>
      </c>
      <c r="EM34" t="s">
        <v>61</v>
      </c>
      <c r="EO34" t="s">
        <v>3</v>
      </c>
      <c r="EQ34">
        <v>0</v>
      </c>
      <c r="ER34">
        <v>8.82</v>
      </c>
      <c r="ES34">
        <v>8.82</v>
      </c>
      <c r="ET34">
        <v>0</v>
      </c>
      <c r="EU34">
        <v>0</v>
      </c>
      <c r="EV34">
        <v>0</v>
      </c>
      <c r="EW34">
        <v>0</v>
      </c>
      <c r="EX34">
        <v>0</v>
      </c>
      <c r="FQ34">
        <v>0</v>
      </c>
      <c r="FR34">
        <f t="shared" si="48"/>
        <v>0</v>
      </c>
      <c r="FS34">
        <v>0</v>
      </c>
      <c r="FX34">
        <v>114</v>
      </c>
      <c r="FY34">
        <v>67</v>
      </c>
      <c r="GA34" t="s">
        <v>3</v>
      </c>
      <c r="GD34">
        <v>0</v>
      </c>
      <c r="GF34">
        <v>-1703718519</v>
      </c>
      <c r="GG34">
        <v>2</v>
      </c>
      <c r="GH34">
        <v>1</v>
      </c>
      <c r="GI34">
        <v>2</v>
      </c>
      <c r="GJ34">
        <v>0</v>
      </c>
      <c r="GK34">
        <f>ROUND(R34*(R12)/100,2)</f>
        <v>0</v>
      </c>
      <c r="GL34">
        <f t="shared" si="49"/>
        <v>0</v>
      </c>
      <c r="GM34">
        <f t="shared" si="50"/>
        <v>8106.79</v>
      </c>
      <c r="GN34">
        <f t="shared" si="51"/>
        <v>0</v>
      </c>
      <c r="GO34">
        <f t="shared" si="52"/>
        <v>8106.79</v>
      </c>
      <c r="GP34">
        <f t="shared" si="53"/>
        <v>0</v>
      </c>
      <c r="GR34">
        <v>0</v>
      </c>
      <c r="GS34">
        <v>3</v>
      </c>
      <c r="GT34">
        <v>0</v>
      </c>
      <c r="GU34" t="s">
        <v>3</v>
      </c>
      <c r="GV34">
        <f t="shared" si="54"/>
        <v>0</v>
      </c>
      <c r="GW34">
        <v>1</v>
      </c>
      <c r="GX34">
        <f t="shared" si="55"/>
        <v>0</v>
      </c>
      <c r="HA34">
        <v>0</v>
      </c>
      <c r="HB34">
        <v>0</v>
      </c>
      <c r="HC34">
        <f t="shared" si="56"/>
        <v>0</v>
      </c>
      <c r="HE34" t="s">
        <v>3</v>
      </c>
      <c r="HF34" t="s">
        <v>3</v>
      </c>
      <c r="IK34">
        <v>0</v>
      </c>
    </row>
    <row r="35" spans="1:245" x14ac:dyDescent="0.2">
      <c r="A35">
        <v>17</v>
      </c>
      <c r="B35">
        <v>1</v>
      </c>
      <c r="C35">
        <f>ROW(SmtRes!A9)</f>
        <v>9</v>
      </c>
      <c r="D35">
        <f>ROW(EtalonRes!A10)</f>
        <v>10</v>
      </c>
      <c r="E35" t="s">
        <v>67</v>
      </c>
      <c r="F35" t="s">
        <v>68</v>
      </c>
      <c r="G35" t="s">
        <v>69</v>
      </c>
      <c r="H35" t="s">
        <v>26</v>
      </c>
      <c r="I35">
        <f>ROUND(I28,9)</f>
        <v>0.23400000000000001</v>
      </c>
      <c r="J35">
        <v>0</v>
      </c>
      <c r="O35">
        <f t="shared" si="21"/>
        <v>3166.42</v>
      </c>
      <c r="P35">
        <f t="shared" si="22"/>
        <v>0</v>
      </c>
      <c r="Q35">
        <f t="shared" si="23"/>
        <v>2289.5300000000002</v>
      </c>
      <c r="R35">
        <f t="shared" si="24"/>
        <v>1411.51</v>
      </c>
      <c r="S35">
        <f t="shared" si="25"/>
        <v>876.89</v>
      </c>
      <c r="T35">
        <f t="shared" si="26"/>
        <v>0</v>
      </c>
      <c r="U35">
        <f t="shared" si="27"/>
        <v>3.1604741999999999</v>
      </c>
      <c r="V35">
        <f t="shared" si="28"/>
        <v>0</v>
      </c>
      <c r="W35">
        <f t="shared" si="29"/>
        <v>0</v>
      </c>
      <c r="X35">
        <f t="shared" si="30"/>
        <v>806.74</v>
      </c>
      <c r="Y35">
        <f t="shared" si="30"/>
        <v>438.45</v>
      </c>
      <c r="AA35">
        <v>23689695</v>
      </c>
      <c r="AB35">
        <f t="shared" si="31"/>
        <v>910.85</v>
      </c>
      <c r="AC35">
        <f t="shared" si="32"/>
        <v>0</v>
      </c>
      <c r="AD35">
        <f t="shared" si="33"/>
        <v>766.63</v>
      </c>
      <c r="AE35">
        <f t="shared" si="34"/>
        <v>232.13</v>
      </c>
      <c r="AF35">
        <f t="shared" si="34"/>
        <v>144.22</v>
      </c>
      <c r="AG35">
        <f t="shared" si="35"/>
        <v>0</v>
      </c>
      <c r="AH35">
        <f t="shared" si="36"/>
        <v>12.9</v>
      </c>
      <c r="AI35">
        <f t="shared" si="36"/>
        <v>0</v>
      </c>
      <c r="AJ35">
        <f t="shared" si="37"/>
        <v>0</v>
      </c>
      <c r="AK35">
        <v>910.85</v>
      </c>
      <c r="AL35">
        <v>0</v>
      </c>
      <c r="AM35">
        <v>766.63</v>
      </c>
      <c r="AN35">
        <v>232.13</v>
      </c>
      <c r="AO35">
        <v>144.22</v>
      </c>
      <c r="AP35">
        <v>0</v>
      </c>
      <c r="AQ35">
        <v>12.9</v>
      </c>
      <c r="AR35">
        <v>0</v>
      </c>
      <c r="AS35">
        <v>0</v>
      </c>
      <c r="AT35">
        <v>92</v>
      </c>
      <c r="AU35">
        <v>50</v>
      </c>
      <c r="AV35">
        <v>1.0469999999999999</v>
      </c>
      <c r="AW35">
        <v>1</v>
      </c>
      <c r="AZ35">
        <v>1</v>
      </c>
      <c r="BA35">
        <v>24.82</v>
      </c>
      <c r="BB35">
        <v>12.19</v>
      </c>
      <c r="BC35">
        <v>1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1</v>
      </c>
      <c r="BJ35" t="s">
        <v>70</v>
      </c>
      <c r="BM35">
        <v>10</v>
      </c>
      <c r="BN35">
        <v>0</v>
      </c>
      <c r="BO35" t="s">
        <v>68</v>
      </c>
      <c r="BP35">
        <v>1</v>
      </c>
      <c r="BQ35">
        <v>30</v>
      </c>
      <c r="BR35">
        <v>0</v>
      </c>
      <c r="BS35">
        <v>24.82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92</v>
      </c>
      <c r="CA35">
        <v>50</v>
      </c>
      <c r="CE35">
        <v>30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8"/>
        <v>3166.42</v>
      </c>
      <c r="CQ35">
        <f t="shared" si="39"/>
        <v>0</v>
      </c>
      <c r="CR35">
        <f t="shared" si="40"/>
        <v>9784.43</v>
      </c>
      <c r="CS35">
        <f t="shared" si="41"/>
        <v>6032.25</v>
      </c>
      <c r="CT35">
        <f t="shared" si="42"/>
        <v>3747.82</v>
      </c>
      <c r="CU35">
        <f t="shared" si="43"/>
        <v>0</v>
      </c>
      <c r="CV35">
        <f t="shared" si="44"/>
        <v>13.5063</v>
      </c>
      <c r="CW35">
        <f t="shared" si="45"/>
        <v>0</v>
      </c>
      <c r="CX35">
        <f t="shared" si="45"/>
        <v>0</v>
      </c>
      <c r="CY35">
        <f t="shared" si="46"/>
        <v>806.73879999999997</v>
      </c>
      <c r="CZ35">
        <f t="shared" si="47"/>
        <v>438.44499999999999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98</v>
      </c>
      <c r="DO35">
        <v>77</v>
      </c>
      <c r="DP35">
        <v>1.0469999999999999</v>
      </c>
      <c r="DQ35">
        <v>1</v>
      </c>
      <c r="DU35">
        <v>1007</v>
      </c>
      <c r="DV35" t="s">
        <v>26</v>
      </c>
      <c r="DW35" t="s">
        <v>26</v>
      </c>
      <c r="DX35">
        <v>100</v>
      </c>
      <c r="DZ35" t="s">
        <v>3</v>
      </c>
      <c r="EA35" t="s">
        <v>3</v>
      </c>
      <c r="EB35" t="s">
        <v>3</v>
      </c>
      <c r="EC35" t="s">
        <v>3</v>
      </c>
      <c r="EE35">
        <v>22826851</v>
      </c>
      <c r="EF35">
        <v>30</v>
      </c>
      <c r="EG35" t="s">
        <v>28</v>
      </c>
      <c r="EH35">
        <v>0</v>
      </c>
      <c r="EI35" t="s">
        <v>3</v>
      </c>
      <c r="EJ35">
        <v>1</v>
      </c>
      <c r="EK35">
        <v>10</v>
      </c>
      <c r="EL35" t="s">
        <v>71</v>
      </c>
      <c r="EM35" t="s">
        <v>72</v>
      </c>
      <c r="EO35" t="s">
        <v>3</v>
      </c>
      <c r="EQ35">
        <v>0</v>
      </c>
      <c r="ER35">
        <v>910.85</v>
      </c>
      <c r="ES35">
        <v>0</v>
      </c>
      <c r="ET35">
        <v>766.63</v>
      </c>
      <c r="EU35">
        <v>232.13</v>
      </c>
      <c r="EV35">
        <v>144.22</v>
      </c>
      <c r="EW35">
        <v>12.9</v>
      </c>
      <c r="EX35">
        <v>0</v>
      </c>
      <c r="EY35">
        <v>0</v>
      </c>
      <c r="FQ35">
        <v>0</v>
      </c>
      <c r="FR35">
        <f t="shared" si="48"/>
        <v>0</v>
      </c>
      <c r="FS35">
        <v>0</v>
      </c>
      <c r="FX35">
        <v>98</v>
      </c>
      <c r="FY35">
        <v>77</v>
      </c>
      <c r="GA35" t="s">
        <v>3</v>
      </c>
      <c r="GD35">
        <v>0</v>
      </c>
      <c r="GF35">
        <v>-584735693</v>
      </c>
      <c r="GG35">
        <v>2</v>
      </c>
      <c r="GH35">
        <v>1</v>
      </c>
      <c r="GI35">
        <v>2</v>
      </c>
      <c r="GJ35">
        <v>0</v>
      </c>
      <c r="GK35">
        <f>ROUND(R35*(R12)/100,2)</f>
        <v>2216.0700000000002</v>
      </c>
      <c r="GL35">
        <f t="shared" si="49"/>
        <v>0</v>
      </c>
      <c r="GM35">
        <f t="shared" si="50"/>
        <v>6627.68</v>
      </c>
      <c r="GN35">
        <f t="shared" si="51"/>
        <v>6627.68</v>
      </c>
      <c r="GO35">
        <f t="shared" si="52"/>
        <v>0</v>
      </c>
      <c r="GP35">
        <f t="shared" si="53"/>
        <v>0</v>
      </c>
      <c r="GR35">
        <v>0</v>
      </c>
      <c r="GS35">
        <v>0</v>
      </c>
      <c r="GT35">
        <v>0</v>
      </c>
      <c r="GU35" t="s">
        <v>3</v>
      </c>
      <c r="GV35">
        <f t="shared" si="54"/>
        <v>0</v>
      </c>
      <c r="GW35">
        <v>1</v>
      </c>
      <c r="GX35">
        <f t="shared" si="55"/>
        <v>0</v>
      </c>
      <c r="HA35">
        <v>0</v>
      </c>
      <c r="HB35">
        <v>0</v>
      </c>
      <c r="HC35">
        <f t="shared" si="56"/>
        <v>0</v>
      </c>
      <c r="HE35" t="s">
        <v>3</v>
      </c>
      <c r="HF35" t="s">
        <v>3</v>
      </c>
      <c r="IK35">
        <v>0</v>
      </c>
    </row>
    <row r="37" spans="1:245" x14ac:dyDescent="0.2">
      <c r="A37" s="2">
        <v>51</v>
      </c>
      <c r="B37" s="2">
        <f>B24</f>
        <v>1</v>
      </c>
      <c r="C37" s="2">
        <f>A24</f>
        <v>4</v>
      </c>
      <c r="D37" s="2">
        <f>ROW(A24)</f>
        <v>24</v>
      </c>
      <c r="E37" s="2"/>
      <c r="F37" s="2" t="str">
        <f>IF(F24&lt;&gt;"",F24,"")</f>
        <v>Новый раздел</v>
      </c>
      <c r="G37" s="2" t="str">
        <f>IF(G24&lt;&gt;"",G24,"")</f>
        <v>Земляные работы.</v>
      </c>
      <c r="H37" s="2">
        <v>0</v>
      </c>
      <c r="I37" s="2"/>
      <c r="J37" s="2"/>
      <c r="K37" s="2"/>
      <c r="L37" s="2"/>
      <c r="M37" s="2"/>
      <c r="N37" s="2"/>
      <c r="O37" s="2">
        <f t="shared" ref="O37:T37" si="57">ROUND(AB37,2)</f>
        <v>41992.49</v>
      </c>
      <c r="P37" s="2">
        <f t="shared" si="57"/>
        <v>8112.24</v>
      </c>
      <c r="Q37" s="2">
        <f t="shared" si="57"/>
        <v>7868.64</v>
      </c>
      <c r="R37" s="2">
        <f t="shared" si="57"/>
        <v>5409.52</v>
      </c>
      <c r="S37" s="2">
        <f t="shared" si="57"/>
        <v>26011.61</v>
      </c>
      <c r="T37" s="2">
        <f t="shared" si="57"/>
        <v>0</v>
      </c>
      <c r="U37" s="2">
        <f>AH37</f>
        <v>100.13154748000001</v>
      </c>
      <c r="V37" s="2">
        <f>AI37</f>
        <v>0</v>
      </c>
      <c r="W37" s="2">
        <f>ROUND(AJ37,2)</f>
        <v>0</v>
      </c>
      <c r="X37" s="2">
        <f>ROUND(AK37,2)</f>
        <v>19324.939999999999</v>
      </c>
      <c r="Y37" s="2">
        <f>ROUND(AL37,2)</f>
        <v>10743.69</v>
      </c>
      <c r="Z37" s="2"/>
      <c r="AA37" s="2"/>
      <c r="AB37" s="2">
        <f>ROUND(SUMIF(AA28:AA35,"=23689695",O28:O35),2)</f>
        <v>41992.49</v>
      </c>
      <c r="AC37" s="2">
        <f>ROUND(SUMIF(AA28:AA35,"=23689695",P28:P35),2)</f>
        <v>8112.24</v>
      </c>
      <c r="AD37" s="2">
        <f>ROUND(SUMIF(AA28:AA35,"=23689695",Q28:Q35),2)</f>
        <v>7868.64</v>
      </c>
      <c r="AE37" s="2">
        <f>ROUND(SUMIF(AA28:AA35,"=23689695",R28:R35),2)</f>
        <v>5409.52</v>
      </c>
      <c r="AF37" s="2">
        <f>ROUND(SUMIF(AA28:AA35,"=23689695",S28:S35),2)</f>
        <v>26011.61</v>
      </c>
      <c r="AG37" s="2">
        <f>ROUND(SUMIF(AA28:AA35,"=23689695",T28:T35),2)</f>
        <v>0</v>
      </c>
      <c r="AH37" s="2">
        <f>SUMIF(AA28:AA35,"=23689695",U28:U35)</f>
        <v>100.13154748000001</v>
      </c>
      <c r="AI37" s="2">
        <f>SUMIF(AA28:AA35,"=23689695",V28:V35)</f>
        <v>0</v>
      </c>
      <c r="AJ37" s="2">
        <f>ROUND(SUMIF(AA28:AA35,"=23689695",W28:W35),2)</f>
        <v>0</v>
      </c>
      <c r="AK37" s="2">
        <f>ROUND(SUMIF(AA28:AA35,"=23689695",X28:X35),2)</f>
        <v>19324.939999999999</v>
      </c>
      <c r="AL37" s="2">
        <f>ROUND(SUMIF(AA28:AA35,"=23689695",Y28:Y35),2)</f>
        <v>10743.69</v>
      </c>
      <c r="AM37" s="2"/>
      <c r="AN37" s="2"/>
      <c r="AO37" s="2">
        <f t="shared" ref="AO37:BD37" si="58">ROUND(BX37,2)</f>
        <v>0</v>
      </c>
      <c r="AP37" s="2">
        <f t="shared" si="58"/>
        <v>0</v>
      </c>
      <c r="AQ37" s="2">
        <f t="shared" si="58"/>
        <v>0</v>
      </c>
      <c r="AR37" s="2">
        <f t="shared" si="58"/>
        <v>80554.070000000007</v>
      </c>
      <c r="AS37" s="2">
        <f t="shared" si="58"/>
        <v>61910.29</v>
      </c>
      <c r="AT37" s="2">
        <f t="shared" si="58"/>
        <v>18643.78</v>
      </c>
      <c r="AU37" s="2">
        <f t="shared" si="58"/>
        <v>0</v>
      </c>
      <c r="AV37" s="2">
        <f t="shared" si="58"/>
        <v>8112.24</v>
      </c>
      <c r="AW37" s="2">
        <f t="shared" si="58"/>
        <v>8112.24</v>
      </c>
      <c r="AX37" s="2">
        <f t="shared" si="58"/>
        <v>0</v>
      </c>
      <c r="AY37" s="2">
        <f t="shared" si="58"/>
        <v>8112.24</v>
      </c>
      <c r="AZ37" s="2">
        <f t="shared" si="58"/>
        <v>0</v>
      </c>
      <c r="BA37" s="2">
        <f t="shared" si="58"/>
        <v>0</v>
      </c>
      <c r="BB37" s="2">
        <f t="shared" si="58"/>
        <v>0</v>
      </c>
      <c r="BC37" s="2">
        <f t="shared" si="58"/>
        <v>0</v>
      </c>
      <c r="BD37" s="2">
        <f t="shared" si="58"/>
        <v>0</v>
      </c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>
        <f>ROUND(SUMIF(AA28:AA35,"=23689695",FQ28:FQ35),2)</f>
        <v>0</v>
      </c>
      <c r="BY37" s="2">
        <f>ROUND(SUMIF(AA28:AA35,"=23689695",FR28:FR35),2)</f>
        <v>0</v>
      </c>
      <c r="BZ37" s="2">
        <f>ROUND(SUMIF(AA28:AA35,"=23689695",GL28:GL35),2)</f>
        <v>0</v>
      </c>
      <c r="CA37" s="2">
        <f>ROUND(SUMIF(AA28:AA35,"=23689695",GM28:GM35),2)</f>
        <v>80554.070000000007</v>
      </c>
      <c r="CB37" s="2">
        <f>ROUND(SUMIF(AA28:AA35,"=23689695",GN28:GN35),2)</f>
        <v>61910.29</v>
      </c>
      <c r="CC37" s="2">
        <f>ROUND(SUMIF(AA28:AA35,"=23689695",GO28:GO35),2)</f>
        <v>18643.78</v>
      </c>
      <c r="CD37" s="2">
        <f>ROUND(SUMIF(AA28:AA35,"=23689695",GP28:GP35),2)</f>
        <v>0</v>
      </c>
      <c r="CE37" s="2">
        <f>AC37-BX37</f>
        <v>8112.24</v>
      </c>
      <c r="CF37" s="2">
        <f>AC37-BY37</f>
        <v>8112.24</v>
      </c>
      <c r="CG37" s="2">
        <f>BX37-BZ37</f>
        <v>0</v>
      </c>
      <c r="CH37" s="2">
        <f>AC37-BX37-BY37+BZ37</f>
        <v>8112.24</v>
      </c>
      <c r="CI37" s="2">
        <f>BY37-BZ37</f>
        <v>0</v>
      </c>
      <c r="CJ37" s="2">
        <f>ROUND(SUMIF(AA28:AA35,"=23689695",GX28:GX35),2)</f>
        <v>0</v>
      </c>
      <c r="CK37" s="2">
        <f>ROUND(SUMIF(AA28:AA35,"=23689695",GY28:GY35),2)</f>
        <v>0</v>
      </c>
      <c r="CL37" s="2">
        <f>ROUND(SUMIF(AA28:AA35,"=23689695",GZ28:GZ35),2)</f>
        <v>0</v>
      </c>
      <c r="CM37" s="2">
        <f>ROUND(SUMIF(AA28:AA35,"=23689695",HD28:HD35),2)</f>
        <v>0</v>
      </c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>
        <v>0</v>
      </c>
    </row>
    <row r="39" spans="1:245" x14ac:dyDescent="0.2">
      <c r="A39" s="4">
        <v>50</v>
      </c>
      <c r="B39" s="4">
        <v>0</v>
      </c>
      <c r="C39" s="4">
        <v>0</v>
      </c>
      <c r="D39" s="4">
        <v>1</v>
      </c>
      <c r="E39" s="4">
        <v>201</v>
      </c>
      <c r="F39" s="4">
        <f>ROUND(Source!O37,O39)</f>
        <v>41992.49</v>
      </c>
      <c r="G39" s="4" t="s">
        <v>73</v>
      </c>
      <c r="H39" s="4" t="s">
        <v>74</v>
      </c>
      <c r="I39" s="4"/>
      <c r="J39" s="4"/>
      <c r="K39" s="4">
        <v>201</v>
      </c>
      <c r="L39" s="4">
        <v>1</v>
      </c>
      <c r="M39" s="4">
        <v>3</v>
      </c>
      <c r="N39" s="4" t="s">
        <v>3</v>
      </c>
      <c r="O39" s="4">
        <v>2</v>
      </c>
      <c r="P39" s="4"/>
      <c r="Q39" s="4"/>
      <c r="R39" s="4"/>
      <c r="S39" s="4"/>
      <c r="T39" s="4"/>
      <c r="U39" s="4"/>
      <c r="V39" s="4"/>
      <c r="W39" s="4"/>
    </row>
    <row r="40" spans="1:245" x14ac:dyDescent="0.2">
      <c r="A40" s="4">
        <v>50</v>
      </c>
      <c r="B40" s="4">
        <v>0</v>
      </c>
      <c r="C40" s="4">
        <v>0</v>
      </c>
      <c r="D40" s="4">
        <v>1</v>
      </c>
      <c r="E40" s="4">
        <v>202</v>
      </c>
      <c r="F40" s="4">
        <f>ROUND(Source!P37,O40)</f>
        <v>8112.24</v>
      </c>
      <c r="G40" s="4" t="s">
        <v>75</v>
      </c>
      <c r="H40" s="4" t="s">
        <v>76</v>
      </c>
      <c r="I40" s="4"/>
      <c r="J40" s="4"/>
      <c r="K40" s="4">
        <v>202</v>
      </c>
      <c r="L40" s="4">
        <v>2</v>
      </c>
      <c r="M40" s="4">
        <v>3</v>
      </c>
      <c r="N40" s="4" t="s">
        <v>3</v>
      </c>
      <c r="O40" s="4">
        <v>2</v>
      </c>
      <c r="P40" s="4"/>
      <c r="Q40" s="4"/>
      <c r="R40" s="4"/>
      <c r="S40" s="4"/>
      <c r="T40" s="4"/>
      <c r="U40" s="4"/>
      <c r="V40" s="4"/>
      <c r="W40" s="4"/>
    </row>
    <row r="41" spans="1:245" x14ac:dyDescent="0.2">
      <c r="A41" s="4">
        <v>50</v>
      </c>
      <c r="B41" s="4">
        <v>0</v>
      </c>
      <c r="C41" s="4">
        <v>0</v>
      </c>
      <c r="D41" s="4">
        <v>1</v>
      </c>
      <c r="E41" s="4">
        <v>222</v>
      </c>
      <c r="F41" s="4">
        <f>ROUND(Source!AO37,O41)</f>
        <v>0</v>
      </c>
      <c r="G41" s="4" t="s">
        <v>77</v>
      </c>
      <c r="H41" s="4" t="s">
        <v>78</v>
      </c>
      <c r="I41" s="4"/>
      <c r="J41" s="4"/>
      <c r="K41" s="4">
        <v>222</v>
      </c>
      <c r="L41" s="4">
        <v>3</v>
      </c>
      <c r="M41" s="4">
        <v>3</v>
      </c>
      <c r="N41" s="4" t="s">
        <v>3</v>
      </c>
      <c r="O41" s="4">
        <v>2</v>
      </c>
      <c r="P41" s="4"/>
      <c r="Q41" s="4"/>
      <c r="R41" s="4"/>
      <c r="S41" s="4"/>
      <c r="T41" s="4"/>
      <c r="U41" s="4"/>
      <c r="V41" s="4"/>
      <c r="W41" s="4"/>
    </row>
    <row r="42" spans="1:245" x14ac:dyDescent="0.2">
      <c r="A42" s="4">
        <v>50</v>
      </c>
      <c r="B42" s="4">
        <v>0</v>
      </c>
      <c r="C42" s="4">
        <v>0</v>
      </c>
      <c r="D42" s="4">
        <v>1</v>
      </c>
      <c r="E42" s="4">
        <v>225</v>
      </c>
      <c r="F42" s="4">
        <f>ROUND(Source!AV37,O42)</f>
        <v>8112.24</v>
      </c>
      <c r="G42" s="4" t="s">
        <v>79</v>
      </c>
      <c r="H42" s="4" t="s">
        <v>80</v>
      </c>
      <c r="I42" s="4"/>
      <c r="J42" s="4"/>
      <c r="K42" s="4">
        <v>225</v>
      </c>
      <c r="L42" s="4">
        <v>4</v>
      </c>
      <c r="M42" s="4">
        <v>3</v>
      </c>
      <c r="N42" s="4" t="s">
        <v>3</v>
      </c>
      <c r="O42" s="4">
        <v>2</v>
      </c>
      <c r="P42" s="4"/>
      <c r="Q42" s="4"/>
      <c r="R42" s="4"/>
      <c r="S42" s="4"/>
      <c r="T42" s="4"/>
      <c r="U42" s="4"/>
      <c r="V42" s="4"/>
      <c r="W42" s="4"/>
    </row>
    <row r="43" spans="1:245" x14ac:dyDescent="0.2">
      <c r="A43" s="4">
        <v>50</v>
      </c>
      <c r="B43" s="4">
        <v>0</v>
      </c>
      <c r="C43" s="4">
        <v>0</v>
      </c>
      <c r="D43" s="4">
        <v>1</v>
      </c>
      <c r="E43" s="4">
        <v>226</v>
      </c>
      <c r="F43" s="4">
        <f>ROUND(Source!AW37,O43)</f>
        <v>8112.24</v>
      </c>
      <c r="G43" s="4" t="s">
        <v>81</v>
      </c>
      <c r="H43" s="4" t="s">
        <v>82</v>
      </c>
      <c r="I43" s="4"/>
      <c r="J43" s="4"/>
      <c r="K43" s="4">
        <v>226</v>
      </c>
      <c r="L43" s="4">
        <v>5</v>
      </c>
      <c r="M43" s="4">
        <v>3</v>
      </c>
      <c r="N43" s="4" t="s">
        <v>3</v>
      </c>
      <c r="O43" s="4">
        <v>2</v>
      </c>
      <c r="P43" s="4"/>
      <c r="Q43" s="4"/>
      <c r="R43" s="4"/>
      <c r="S43" s="4"/>
      <c r="T43" s="4"/>
      <c r="U43" s="4"/>
      <c r="V43" s="4"/>
      <c r="W43" s="4"/>
    </row>
    <row r="44" spans="1:245" x14ac:dyDescent="0.2">
      <c r="A44" s="4">
        <v>50</v>
      </c>
      <c r="B44" s="4">
        <v>0</v>
      </c>
      <c r="C44" s="4">
        <v>0</v>
      </c>
      <c r="D44" s="4">
        <v>1</v>
      </c>
      <c r="E44" s="4">
        <v>227</v>
      </c>
      <c r="F44" s="4">
        <f>ROUND(Source!AX37,O44)</f>
        <v>0</v>
      </c>
      <c r="G44" s="4" t="s">
        <v>83</v>
      </c>
      <c r="H44" s="4" t="s">
        <v>84</v>
      </c>
      <c r="I44" s="4"/>
      <c r="J44" s="4"/>
      <c r="K44" s="4">
        <v>227</v>
      </c>
      <c r="L44" s="4">
        <v>6</v>
      </c>
      <c r="M44" s="4">
        <v>3</v>
      </c>
      <c r="N44" s="4" t="s">
        <v>3</v>
      </c>
      <c r="O44" s="4">
        <v>2</v>
      </c>
      <c r="P44" s="4"/>
      <c r="Q44" s="4"/>
      <c r="R44" s="4"/>
      <c r="S44" s="4"/>
      <c r="T44" s="4"/>
      <c r="U44" s="4"/>
      <c r="V44" s="4"/>
      <c r="W44" s="4"/>
    </row>
    <row r="45" spans="1:245" x14ac:dyDescent="0.2">
      <c r="A45" s="4">
        <v>50</v>
      </c>
      <c r="B45" s="4">
        <v>0</v>
      </c>
      <c r="C45" s="4">
        <v>0</v>
      </c>
      <c r="D45" s="4">
        <v>1</v>
      </c>
      <c r="E45" s="4">
        <v>228</v>
      </c>
      <c r="F45" s="4">
        <f>ROUND(Source!AY37,O45)</f>
        <v>8112.24</v>
      </c>
      <c r="G45" s="4" t="s">
        <v>85</v>
      </c>
      <c r="H45" s="4" t="s">
        <v>86</v>
      </c>
      <c r="I45" s="4"/>
      <c r="J45" s="4"/>
      <c r="K45" s="4">
        <v>228</v>
      </c>
      <c r="L45" s="4">
        <v>7</v>
      </c>
      <c r="M45" s="4">
        <v>3</v>
      </c>
      <c r="N45" s="4" t="s">
        <v>3</v>
      </c>
      <c r="O45" s="4">
        <v>2</v>
      </c>
      <c r="P45" s="4"/>
      <c r="Q45" s="4"/>
      <c r="R45" s="4"/>
      <c r="S45" s="4"/>
      <c r="T45" s="4"/>
      <c r="U45" s="4"/>
      <c r="V45" s="4"/>
      <c r="W45" s="4"/>
    </row>
    <row r="46" spans="1:245" x14ac:dyDescent="0.2">
      <c r="A46" s="4">
        <v>50</v>
      </c>
      <c r="B46" s="4">
        <v>0</v>
      </c>
      <c r="C46" s="4">
        <v>0</v>
      </c>
      <c r="D46" s="4">
        <v>1</v>
      </c>
      <c r="E46" s="4">
        <v>216</v>
      </c>
      <c r="F46" s="4">
        <f>ROUND(Source!AP37,O46)</f>
        <v>0</v>
      </c>
      <c r="G46" s="4" t="s">
        <v>87</v>
      </c>
      <c r="H46" s="4" t="s">
        <v>88</v>
      </c>
      <c r="I46" s="4"/>
      <c r="J46" s="4"/>
      <c r="K46" s="4">
        <v>216</v>
      </c>
      <c r="L46" s="4">
        <v>8</v>
      </c>
      <c r="M46" s="4">
        <v>3</v>
      </c>
      <c r="N46" s="4" t="s">
        <v>3</v>
      </c>
      <c r="O46" s="4">
        <v>2</v>
      </c>
      <c r="P46" s="4"/>
      <c r="Q46" s="4"/>
      <c r="R46" s="4"/>
      <c r="S46" s="4"/>
      <c r="T46" s="4"/>
      <c r="U46" s="4"/>
      <c r="V46" s="4"/>
      <c r="W46" s="4"/>
    </row>
    <row r="47" spans="1:245" x14ac:dyDescent="0.2">
      <c r="A47" s="4">
        <v>50</v>
      </c>
      <c r="B47" s="4">
        <v>0</v>
      </c>
      <c r="C47" s="4">
        <v>0</v>
      </c>
      <c r="D47" s="4">
        <v>1</v>
      </c>
      <c r="E47" s="4">
        <v>223</v>
      </c>
      <c r="F47" s="4">
        <f>ROUND(Source!AQ37,O47)</f>
        <v>0</v>
      </c>
      <c r="G47" s="4" t="s">
        <v>89</v>
      </c>
      <c r="H47" s="4" t="s">
        <v>90</v>
      </c>
      <c r="I47" s="4"/>
      <c r="J47" s="4"/>
      <c r="K47" s="4">
        <v>223</v>
      </c>
      <c r="L47" s="4">
        <v>9</v>
      </c>
      <c r="M47" s="4">
        <v>3</v>
      </c>
      <c r="N47" s="4" t="s">
        <v>3</v>
      </c>
      <c r="O47" s="4">
        <v>2</v>
      </c>
      <c r="P47" s="4"/>
      <c r="Q47" s="4"/>
      <c r="R47" s="4"/>
      <c r="S47" s="4"/>
      <c r="T47" s="4"/>
      <c r="U47" s="4"/>
      <c r="V47" s="4"/>
      <c r="W47" s="4"/>
    </row>
    <row r="48" spans="1:245" x14ac:dyDescent="0.2">
      <c r="A48" s="4">
        <v>50</v>
      </c>
      <c r="B48" s="4">
        <v>0</v>
      </c>
      <c r="C48" s="4">
        <v>0</v>
      </c>
      <c r="D48" s="4">
        <v>1</v>
      </c>
      <c r="E48" s="4">
        <v>229</v>
      </c>
      <c r="F48" s="4">
        <f>ROUND(Source!AZ37,O48)</f>
        <v>0</v>
      </c>
      <c r="G48" s="4" t="s">
        <v>91</v>
      </c>
      <c r="H48" s="4" t="s">
        <v>92</v>
      </c>
      <c r="I48" s="4"/>
      <c r="J48" s="4"/>
      <c r="K48" s="4">
        <v>229</v>
      </c>
      <c r="L48" s="4">
        <v>10</v>
      </c>
      <c r="M48" s="4">
        <v>3</v>
      </c>
      <c r="N48" s="4" t="s">
        <v>3</v>
      </c>
      <c r="O48" s="4">
        <v>2</v>
      </c>
      <c r="P48" s="4"/>
      <c r="Q48" s="4"/>
      <c r="R48" s="4"/>
      <c r="S48" s="4"/>
      <c r="T48" s="4"/>
      <c r="U48" s="4"/>
      <c r="V48" s="4"/>
      <c r="W48" s="4"/>
    </row>
    <row r="49" spans="1:23" x14ac:dyDescent="0.2">
      <c r="A49" s="4">
        <v>50</v>
      </c>
      <c r="B49" s="4">
        <v>0</v>
      </c>
      <c r="C49" s="4">
        <v>0</v>
      </c>
      <c r="D49" s="4">
        <v>1</v>
      </c>
      <c r="E49" s="4">
        <v>203</v>
      </c>
      <c r="F49" s="4">
        <f>ROUND(Source!Q37,O49)</f>
        <v>7868.64</v>
      </c>
      <c r="G49" s="4" t="s">
        <v>93</v>
      </c>
      <c r="H49" s="4" t="s">
        <v>94</v>
      </c>
      <c r="I49" s="4"/>
      <c r="J49" s="4"/>
      <c r="K49" s="4">
        <v>203</v>
      </c>
      <c r="L49" s="4">
        <v>11</v>
      </c>
      <c r="M49" s="4">
        <v>3</v>
      </c>
      <c r="N49" s="4" t="s">
        <v>3</v>
      </c>
      <c r="O49" s="4">
        <v>2</v>
      </c>
      <c r="P49" s="4"/>
      <c r="Q49" s="4"/>
      <c r="R49" s="4"/>
      <c r="S49" s="4"/>
      <c r="T49" s="4"/>
      <c r="U49" s="4"/>
      <c r="V49" s="4"/>
      <c r="W49" s="4"/>
    </row>
    <row r="50" spans="1:23" x14ac:dyDescent="0.2">
      <c r="A50" s="4">
        <v>50</v>
      </c>
      <c r="B50" s="4">
        <v>0</v>
      </c>
      <c r="C50" s="4">
        <v>0</v>
      </c>
      <c r="D50" s="4">
        <v>1</v>
      </c>
      <c r="E50" s="4">
        <v>231</v>
      </c>
      <c r="F50" s="4">
        <f>ROUND(Source!BB37,O50)</f>
        <v>0</v>
      </c>
      <c r="G50" s="4" t="s">
        <v>95</v>
      </c>
      <c r="H50" s="4" t="s">
        <v>96</v>
      </c>
      <c r="I50" s="4"/>
      <c r="J50" s="4"/>
      <c r="K50" s="4">
        <v>231</v>
      </c>
      <c r="L50" s="4">
        <v>12</v>
      </c>
      <c r="M50" s="4">
        <v>3</v>
      </c>
      <c r="N50" s="4" t="s">
        <v>3</v>
      </c>
      <c r="O50" s="4">
        <v>2</v>
      </c>
      <c r="P50" s="4"/>
      <c r="Q50" s="4"/>
      <c r="R50" s="4"/>
      <c r="S50" s="4"/>
      <c r="T50" s="4"/>
      <c r="U50" s="4"/>
      <c r="V50" s="4"/>
      <c r="W50" s="4"/>
    </row>
    <row r="51" spans="1:23" x14ac:dyDescent="0.2">
      <c r="A51" s="4">
        <v>50</v>
      </c>
      <c r="B51" s="4">
        <v>0</v>
      </c>
      <c r="C51" s="4">
        <v>0</v>
      </c>
      <c r="D51" s="4">
        <v>1</v>
      </c>
      <c r="E51" s="4">
        <v>204</v>
      </c>
      <c r="F51" s="4">
        <f>ROUND(Source!R37,O51)</f>
        <v>5409.52</v>
      </c>
      <c r="G51" s="4" t="s">
        <v>97</v>
      </c>
      <c r="H51" s="4" t="s">
        <v>98</v>
      </c>
      <c r="I51" s="4"/>
      <c r="J51" s="4"/>
      <c r="K51" s="4">
        <v>204</v>
      </c>
      <c r="L51" s="4">
        <v>13</v>
      </c>
      <c r="M51" s="4">
        <v>3</v>
      </c>
      <c r="N51" s="4" t="s">
        <v>3</v>
      </c>
      <c r="O51" s="4">
        <v>2</v>
      </c>
      <c r="P51" s="4"/>
      <c r="Q51" s="4"/>
      <c r="R51" s="4"/>
      <c r="S51" s="4"/>
      <c r="T51" s="4"/>
      <c r="U51" s="4"/>
      <c r="V51" s="4"/>
      <c r="W51" s="4"/>
    </row>
    <row r="52" spans="1:23" x14ac:dyDescent="0.2">
      <c r="A52" s="4">
        <v>50</v>
      </c>
      <c r="B52" s="4">
        <v>0</v>
      </c>
      <c r="C52" s="4">
        <v>0</v>
      </c>
      <c r="D52" s="4">
        <v>1</v>
      </c>
      <c r="E52" s="4">
        <v>205</v>
      </c>
      <c r="F52" s="4">
        <f>ROUND(Source!S37,O52)</f>
        <v>26011.61</v>
      </c>
      <c r="G52" s="4" t="s">
        <v>99</v>
      </c>
      <c r="H52" s="4" t="s">
        <v>100</v>
      </c>
      <c r="I52" s="4"/>
      <c r="J52" s="4"/>
      <c r="K52" s="4">
        <v>205</v>
      </c>
      <c r="L52" s="4">
        <v>14</v>
      </c>
      <c r="M52" s="4">
        <v>3</v>
      </c>
      <c r="N52" s="4" t="s">
        <v>3</v>
      </c>
      <c r="O52" s="4">
        <v>2</v>
      </c>
      <c r="P52" s="4"/>
      <c r="Q52" s="4"/>
      <c r="R52" s="4"/>
      <c r="S52" s="4"/>
      <c r="T52" s="4"/>
      <c r="U52" s="4"/>
      <c r="V52" s="4"/>
      <c r="W52" s="4"/>
    </row>
    <row r="53" spans="1:23" x14ac:dyDescent="0.2">
      <c r="A53" s="4">
        <v>50</v>
      </c>
      <c r="B53" s="4">
        <v>0</v>
      </c>
      <c r="C53" s="4">
        <v>0</v>
      </c>
      <c r="D53" s="4">
        <v>1</v>
      </c>
      <c r="E53" s="4">
        <v>232</v>
      </c>
      <c r="F53" s="4">
        <f>ROUND(Source!BC37,O53)</f>
        <v>0</v>
      </c>
      <c r="G53" s="4" t="s">
        <v>101</v>
      </c>
      <c r="H53" s="4" t="s">
        <v>102</v>
      </c>
      <c r="I53" s="4"/>
      <c r="J53" s="4"/>
      <c r="K53" s="4">
        <v>232</v>
      </c>
      <c r="L53" s="4">
        <v>15</v>
      </c>
      <c r="M53" s="4">
        <v>3</v>
      </c>
      <c r="N53" s="4" t="s">
        <v>3</v>
      </c>
      <c r="O53" s="4">
        <v>2</v>
      </c>
      <c r="P53" s="4"/>
      <c r="Q53" s="4"/>
      <c r="R53" s="4"/>
      <c r="S53" s="4"/>
      <c r="T53" s="4"/>
      <c r="U53" s="4"/>
      <c r="V53" s="4"/>
      <c r="W53" s="4"/>
    </row>
    <row r="54" spans="1:23" x14ac:dyDescent="0.2">
      <c r="A54" s="4">
        <v>50</v>
      </c>
      <c r="B54" s="4">
        <v>0</v>
      </c>
      <c r="C54" s="4">
        <v>0</v>
      </c>
      <c r="D54" s="4">
        <v>1</v>
      </c>
      <c r="E54" s="4">
        <v>214</v>
      </c>
      <c r="F54" s="4">
        <f>ROUND(Source!AS37,O54)</f>
        <v>61910.29</v>
      </c>
      <c r="G54" s="4" t="s">
        <v>103</v>
      </c>
      <c r="H54" s="4" t="s">
        <v>104</v>
      </c>
      <c r="I54" s="4"/>
      <c r="J54" s="4"/>
      <c r="K54" s="4">
        <v>214</v>
      </c>
      <c r="L54" s="4">
        <v>16</v>
      </c>
      <c r="M54" s="4">
        <v>3</v>
      </c>
      <c r="N54" s="4" t="s">
        <v>3</v>
      </c>
      <c r="O54" s="4">
        <v>2</v>
      </c>
      <c r="P54" s="4"/>
      <c r="Q54" s="4"/>
      <c r="R54" s="4"/>
      <c r="S54" s="4"/>
      <c r="T54" s="4"/>
      <c r="U54" s="4"/>
      <c r="V54" s="4"/>
      <c r="W54" s="4"/>
    </row>
    <row r="55" spans="1:23" x14ac:dyDescent="0.2">
      <c r="A55" s="4">
        <v>50</v>
      </c>
      <c r="B55" s="4">
        <v>0</v>
      </c>
      <c r="C55" s="4">
        <v>0</v>
      </c>
      <c r="D55" s="4">
        <v>1</v>
      </c>
      <c r="E55" s="4">
        <v>215</v>
      </c>
      <c r="F55" s="4">
        <f>ROUND(Source!AT37,O55)</f>
        <v>18643.78</v>
      </c>
      <c r="G55" s="4" t="s">
        <v>105</v>
      </c>
      <c r="H55" s="4" t="s">
        <v>106</v>
      </c>
      <c r="I55" s="4"/>
      <c r="J55" s="4"/>
      <c r="K55" s="4">
        <v>215</v>
      </c>
      <c r="L55" s="4">
        <v>17</v>
      </c>
      <c r="M55" s="4">
        <v>3</v>
      </c>
      <c r="N55" s="4" t="s">
        <v>3</v>
      </c>
      <c r="O55" s="4">
        <v>2</v>
      </c>
      <c r="P55" s="4"/>
      <c r="Q55" s="4"/>
      <c r="R55" s="4"/>
      <c r="S55" s="4"/>
      <c r="T55" s="4"/>
      <c r="U55" s="4"/>
      <c r="V55" s="4"/>
      <c r="W55" s="4"/>
    </row>
    <row r="56" spans="1:23" x14ac:dyDescent="0.2">
      <c r="A56" s="4">
        <v>50</v>
      </c>
      <c r="B56" s="4">
        <v>0</v>
      </c>
      <c r="C56" s="4">
        <v>0</v>
      </c>
      <c r="D56" s="4">
        <v>1</v>
      </c>
      <c r="E56" s="4">
        <v>217</v>
      </c>
      <c r="F56" s="4">
        <f>ROUND(Source!AU37,O56)</f>
        <v>0</v>
      </c>
      <c r="G56" s="4" t="s">
        <v>107</v>
      </c>
      <c r="H56" s="4" t="s">
        <v>108</v>
      </c>
      <c r="I56" s="4"/>
      <c r="J56" s="4"/>
      <c r="K56" s="4">
        <v>217</v>
      </c>
      <c r="L56" s="4">
        <v>18</v>
      </c>
      <c r="M56" s="4">
        <v>3</v>
      </c>
      <c r="N56" s="4" t="s">
        <v>3</v>
      </c>
      <c r="O56" s="4">
        <v>2</v>
      </c>
      <c r="P56" s="4"/>
      <c r="Q56" s="4"/>
      <c r="R56" s="4"/>
      <c r="S56" s="4"/>
      <c r="T56" s="4"/>
      <c r="U56" s="4"/>
      <c r="V56" s="4"/>
      <c r="W56" s="4"/>
    </row>
    <row r="57" spans="1:23" x14ac:dyDescent="0.2">
      <c r="A57" s="4">
        <v>50</v>
      </c>
      <c r="B57" s="4">
        <v>0</v>
      </c>
      <c r="C57" s="4">
        <v>0</v>
      </c>
      <c r="D57" s="4">
        <v>1</v>
      </c>
      <c r="E57" s="4">
        <v>230</v>
      </c>
      <c r="F57" s="4">
        <f>ROUND(Source!BA37,O57)</f>
        <v>0</v>
      </c>
      <c r="G57" s="4" t="s">
        <v>109</v>
      </c>
      <c r="H57" s="4" t="s">
        <v>110</v>
      </c>
      <c r="I57" s="4"/>
      <c r="J57" s="4"/>
      <c r="K57" s="4">
        <v>230</v>
      </c>
      <c r="L57" s="4">
        <v>19</v>
      </c>
      <c r="M57" s="4">
        <v>3</v>
      </c>
      <c r="N57" s="4" t="s">
        <v>3</v>
      </c>
      <c r="O57" s="4">
        <v>2</v>
      </c>
      <c r="P57" s="4"/>
      <c r="Q57" s="4"/>
      <c r="R57" s="4"/>
      <c r="S57" s="4"/>
      <c r="T57" s="4"/>
      <c r="U57" s="4"/>
      <c r="V57" s="4"/>
      <c r="W57" s="4"/>
    </row>
    <row r="58" spans="1:23" x14ac:dyDescent="0.2">
      <c r="A58" s="4">
        <v>50</v>
      </c>
      <c r="B58" s="4">
        <v>0</v>
      </c>
      <c r="C58" s="4">
        <v>0</v>
      </c>
      <c r="D58" s="4">
        <v>1</v>
      </c>
      <c r="E58" s="4">
        <v>206</v>
      </c>
      <c r="F58" s="4">
        <f>ROUND(Source!T37,O58)</f>
        <v>0</v>
      </c>
      <c r="G58" s="4" t="s">
        <v>111</v>
      </c>
      <c r="H58" s="4" t="s">
        <v>112</v>
      </c>
      <c r="I58" s="4"/>
      <c r="J58" s="4"/>
      <c r="K58" s="4">
        <v>206</v>
      </c>
      <c r="L58" s="4">
        <v>20</v>
      </c>
      <c r="M58" s="4">
        <v>3</v>
      </c>
      <c r="N58" s="4" t="s">
        <v>3</v>
      </c>
      <c r="O58" s="4">
        <v>2</v>
      </c>
      <c r="P58" s="4"/>
      <c r="Q58" s="4"/>
      <c r="R58" s="4"/>
      <c r="S58" s="4"/>
      <c r="T58" s="4"/>
      <c r="U58" s="4"/>
      <c r="V58" s="4"/>
      <c r="W58" s="4"/>
    </row>
    <row r="59" spans="1:23" x14ac:dyDescent="0.2">
      <c r="A59" s="4">
        <v>50</v>
      </c>
      <c r="B59" s="4">
        <v>0</v>
      </c>
      <c r="C59" s="4">
        <v>0</v>
      </c>
      <c r="D59" s="4">
        <v>1</v>
      </c>
      <c r="E59" s="4">
        <v>207</v>
      </c>
      <c r="F59" s="4">
        <f>Source!U37</f>
        <v>100.13154748000001</v>
      </c>
      <c r="G59" s="4" t="s">
        <v>113</v>
      </c>
      <c r="H59" s="4" t="s">
        <v>114</v>
      </c>
      <c r="I59" s="4"/>
      <c r="J59" s="4"/>
      <c r="K59" s="4">
        <v>207</v>
      </c>
      <c r="L59" s="4">
        <v>21</v>
      </c>
      <c r="M59" s="4">
        <v>3</v>
      </c>
      <c r="N59" s="4" t="s">
        <v>3</v>
      </c>
      <c r="O59" s="4">
        <v>-1</v>
      </c>
      <c r="P59" s="4"/>
      <c r="Q59" s="4"/>
      <c r="R59" s="4"/>
      <c r="S59" s="4"/>
      <c r="T59" s="4"/>
      <c r="U59" s="4"/>
      <c r="V59" s="4"/>
      <c r="W59" s="4"/>
    </row>
    <row r="60" spans="1:23" x14ac:dyDescent="0.2">
      <c r="A60" s="4">
        <v>50</v>
      </c>
      <c r="B60" s="4">
        <v>0</v>
      </c>
      <c r="C60" s="4">
        <v>0</v>
      </c>
      <c r="D60" s="4">
        <v>1</v>
      </c>
      <c r="E60" s="4">
        <v>208</v>
      </c>
      <c r="F60" s="4">
        <f>Source!V37</f>
        <v>0</v>
      </c>
      <c r="G60" s="4" t="s">
        <v>115</v>
      </c>
      <c r="H60" s="4" t="s">
        <v>116</v>
      </c>
      <c r="I60" s="4"/>
      <c r="J60" s="4"/>
      <c r="K60" s="4">
        <v>208</v>
      </c>
      <c r="L60" s="4">
        <v>22</v>
      </c>
      <c r="M60" s="4">
        <v>3</v>
      </c>
      <c r="N60" s="4" t="s">
        <v>3</v>
      </c>
      <c r="O60" s="4">
        <v>-1</v>
      </c>
      <c r="P60" s="4"/>
      <c r="Q60" s="4"/>
      <c r="R60" s="4"/>
      <c r="S60" s="4"/>
      <c r="T60" s="4"/>
      <c r="U60" s="4"/>
      <c r="V60" s="4"/>
      <c r="W60" s="4"/>
    </row>
    <row r="61" spans="1:23" x14ac:dyDescent="0.2">
      <c r="A61" s="4">
        <v>50</v>
      </c>
      <c r="B61" s="4">
        <v>0</v>
      </c>
      <c r="C61" s="4">
        <v>0</v>
      </c>
      <c r="D61" s="4">
        <v>1</v>
      </c>
      <c r="E61" s="4">
        <v>209</v>
      </c>
      <c r="F61" s="4">
        <f>ROUND(Source!W37,O61)</f>
        <v>0</v>
      </c>
      <c r="G61" s="4" t="s">
        <v>117</v>
      </c>
      <c r="H61" s="4" t="s">
        <v>118</v>
      </c>
      <c r="I61" s="4"/>
      <c r="J61" s="4"/>
      <c r="K61" s="4">
        <v>209</v>
      </c>
      <c r="L61" s="4">
        <v>23</v>
      </c>
      <c r="M61" s="4">
        <v>3</v>
      </c>
      <c r="N61" s="4" t="s">
        <v>3</v>
      </c>
      <c r="O61" s="4">
        <v>2</v>
      </c>
      <c r="P61" s="4"/>
      <c r="Q61" s="4"/>
      <c r="R61" s="4"/>
      <c r="S61" s="4"/>
      <c r="T61" s="4"/>
      <c r="U61" s="4"/>
      <c r="V61" s="4"/>
      <c r="W61" s="4"/>
    </row>
    <row r="62" spans="1:23" x14ac:dyDescent="0.2">
      <c r="A62" s="4">
        <v>50</v>
      </c>
      <c r="B62" s="4">
        <v>0</v>
      </c>
      <c r="C62" s="4">
        <v>0</v>
      </c>
      <c r="D62" s="4">
        <v>1</v>
      </c>
      <c r="E62" s="4">
        <v>233</v>
      </c>
      <c r="F62" s="4">
        <f>ROUND(Source!BD37,O62)</f>
        <v>0</v>
      </c>
      <c r="G62" s="4" t="s">
        <v>119</v>
      </c>
      <c r="H62" s="4" t="s">
        <v>120</v>
      </c>
      <c r="I62" s="4"/>
      <c r="J62" s="4"/>
      <c r="K62" s="4">
        <v>233</v>
      </c>
      <c r="L62" s="4">
        <v>24</v>
      </c>
      <c r="M62" s="4">
        <v>3</v>
      </c>
      <c r="N62" s="4" t="s">
        <v>3</v>
      </c>
      <c r="O62" s="4">
        <v>2</v>
      </c>
      <c r="P62" s="4"/>
      <c r="Q62" s="4"/>
      <c r="R62" s="4"/>
      <c r="S62" s="4"/>
      <c r="T62" s="4"/>
      <c r="U62" s="4"/>
      <c r="V62" s="4"/>
      <c r="W62" s="4"/>
    </row>
    <row r="63" spans="1:23" x14ac:dyDescent="0.2">
      <c r="A63" s="4">
        <v>50</v>
      </c>
      <c r="B63" s="4">
        <v>0</v>
      </c>
      <c r="C63" s="4">
        <v>0</v>
      </c>
      <c r="D63" s="4">
        <v>1</v>
      </c>
      <c r="E63" s="4">
        <v>210</v>
      </c>
      <c r="F63" s="4">
        <f>ROUND(Source!X37,O63)</f>
        <v>19324.939999999999</v>
      </c>
      <c r="G63" s="4" t="s">
        <v>121</v>
      </c>
      <c r="H63" s="4" t="s">
        <v>122</v>
      </c>
      <c r="I63" s="4"/>
      <c r="J63" s="4"/>
      <c r="K63" s="4">
        <v>210</v>
      </c>
      <c r="L63" s="4">
        <v>25</v>
      </c>
      <c r="M63" s="4">
        <v>3</v>
      </c>
      <c r="N63" s="4" t="s">
        <v>3</v>
      </c>
      <c r="O63" s="4">
        <v>2</v>
      </c>
      <c r="P63" s="4"/>
      <c r="Q63" s="4"/>
      <c r="R63" s="4"/>
      <c r="S63" s="4"/>
      <c r="T63" s="4"/>
      <c r="U63" s="4"/>
      <c r="V63" s="4"/>
      <c r="W63" s="4"/>
    </row>
    <row r="64" spans="1:23" x14ac:dyDescent="0.2">
      <c r="A64" s="4">
        <v>50</v>
      </c>
      <c r="B64" s="4">
        <v>0</v>
      </c>
      <c r="C64" s="4">
        <v>0</v>
      </c>
      <c r="D64" s="4">
        <v>1</v>
      </c>
      <c r="E64" s="4">
        <v>211</v>
      </c>
      <c r="F64" s="4">
        <f>ROUND(Source!Y37,O64)</f>
        <v>10743.69</v>
      </c>
      <c r="G64" s="4" t="s">
        <v>123</v>
      </c>
      <c r="H64" s="4" t="s">
        <v>124</v>
      </c>
      <c r="I64" s="4"/>
      <c r="J64" s="4"/>
      <c r="K64" s="4">
        <v>211</v>
      </c>
      <c r="L64" s="4">
        <v>26</v>
      </c>
      <c r="M64" s="4">
        <v>3</v>
      </c>
      <c r="N64" s="4" t="s">
        <v>3</v>
      </c>
      <c r="O64" s="4">
        <v>2</v>
      </c>
      <c r="P64" s="4"/>
      <c r="Q64" s="4"/>
      <c r="R64" s="4"/>
      <c r="S64" s="4"/>
      <c r="T64" s="4"/>
      <c r="U64" s="4"/>
      <c r="V64" s="4"/>
      <c r="W64" s="4"/>
    </row>
    <row r="65" spans="1:245" x14ac:dyDescent="0.2">
      <c r="A65" s="4">
        <v>50</v>
      </c>
      <c r="B65" s="4">
        <v>0</v>
      </c>
      <c r="C65" s="4">
        <v>0</v>
      </c>
      <c r="D65" s="4">
        <v>1</v>
      </c>
      <c r="E65" s="4">
        <v>224</v>
      </c>
      <c r="F65" s="4">
        <f>ROUND(Source!AR37,O65)</f>
        <v>80554.070000000007</v>
      </c>
      <c r="G65" s="4" t="s">
        <v>125</v>
      </c>
      <c r="H65" s="4" t="s">
        <v>126</v>
      </c>
      <c r="I65" s="4"/>
      <c r="J65" s="4"/>
      <c r="K65" s="4">
        <v>224</v>
      </c>
      <c r="L65" s="4">
        <v>27</v>
      </c>
      <c r="M65" s="4">
        <v>3</v>
      </c>
      <c r="N65" s="4" t="s">
        <v>3</v>
      </c>
      <c r="O65" s="4">
        <v>2</v>
      </c>
      <c r="P65" s="4"/>
      <c r="Q65" s="4"/>
      <c r="R65" s="4"/>
      <c r="S65" s="4"/>
      <c r="T65" s="4"/>
      <c r="U65" s="4"/>
      <c r="V65" s="4"/>
      <c r="W65" s="4"/>
    </row>
    <row r="67" spans="1:245" x14ac:dyDescent="0.2">
      <c r="A67" s="1">
        <v>4</v>
      </c>
      <c r="B67" s="1">
        <v>1</v>
      </c>
      <c r="C67" s="1"/>
      <c r="D67" s="1">
        <f>ROW(A75)</f>
        <v>75</v>
      </c>
      <c r="E67" s="1"/>
      <c r="F67" s="1" t="s">
        <v>21</v>
      </c>
      <c r="G67" s="1" t="s">
        <v>127</v>
      </c>
      <c r="H67" s="1" t="s">
        <v>3</v>
      </c>
      <c r="I67" s="1">
        <v>0</v>
      </c>
      <c r="J67" s="1"/>
      <c r="K67" s="1">
        <v>2</v>
      </c>
      <c r="L67" s="1"/>
      <c r="M67" s="1" t="s">
        <v>3</v>
      </c>
      <c r="N67" s="1"/>
      <c r="O67" s="1"/>
      <c r="P67" s="1"/>
      <c r="Q67" s="1"/>
      <c r="R67" s="1"/>
      <c r="S67" s="1">
        <v>0</v>
      </c>
      <c r="T67" s="1"/>
      <c r="U67" s="1" t="s">
        <v>3</v>
      </c>
      <c r="V67" s="1">
        <v>0</v>
      </c>
      <c r="W67" s="1"/>
      <c r="X67" s="1"/>
      <c r="Y67" s="1"/>
      <c r="Z67" s="1"/>
      <c r="AA67" s="1"/>
      <c r="AB67" s="1" t="s">
        <v>3</v>
      </c>
      <c r="AC67" s="1" t="s">
        <v>3</v>
      </c>
      <c r="AD67" s="1" t="s">
        <v>3</v>
      </c>
      <c r="AE67" s="1" t="s">
        <v>3</v>
      </c>
      <c r="AF67" s="1" t="s">
        <v>3</v>
      </c>
      <c r="AG67" s="1" t="s">
        <v>3</v>
      </c>
      <c r="AH67" s="1"/>
      <c r="AI67" s="1"/>
      <c r="AJ67" s="1"/>
      <c r="AK67" s="1"/>
      <c r="AL67" s="1"/>
      <c r="AM67" s="1"/>
      <c r="AN67" s="1"/>
      <c r="AO67" s="1"/>
      <c r="AP67" s="1" t="s">
        <v>3</v>
      </c>
      <c r="AQ67" s="1" t="s">
        <v>3</v>
      </c>
      <c r="AR67" s="1" t="s">
        <v>3</v>
      </c>
      <c r="AS67" s="1"/>
      <c r="AT67" s="1"/>
      <c r="AU67" s="1"/>
      <c r="AV67" s="1"/>
      <c r="AW67" s="1"/>
      <c r="AX67" s="1"/>
      <c r="AY67" s="1"/>
      <c r="AZ67" s="1" t="s">
        <v>3</v>
      </c>
      <c r="BA67" s="1"/>
      <c r="BB67" s="1" t="s">
        <v>3</v>
      </c>
      <c r="BC67" s="1" t="s">
        <v>3</v>
      </c>
      <c r="BD67" s="1" t="s">
        <v>3</v>
      </c>
      <c r="BE67" s="1" t="s">
        <v>3</v>
      </c>
      <c r="BF67" s="1" t="s">
        <v>3</v>
      </c>
      <c r="BG67" s="1" t="s">
        <v>3</v>
      </c>
      <c r="BH67" s="1" t="s">
        <v>3</v>
      </c>
      <c r="BI67" s="1" t="s">
        <v>3</v>
      </c>
      <c r="BJ67" s="1" t="s">
        <v>3</v>
      </c>
      <c r="BK67" s="1" t="s">
        <v>3</v>
      </c>
      <c r="BL67" s="1" t="s">
        <v>3</v>
      </c>
      <c r="BM67" s="1" t="s">
        <v>3</v>
      </c>
      <c r="BN67" s="1" t="s">
        <v>3</v>
      </c>
      <c r="BO67" s="1" t="s">
        <v>3</v>
      </c>
      <c r="BP67" s="1" t="s">
        <v>3</v>
      </c>
      <c r="BQ67" s="1"/>
      <c r="BR67" s="1"/>
      <c r="BS67" s="1"/>
      <c r="BT67" s="1"/>
      <c r="BU67" s="1"/>
      <c r="BV67" s="1"/>
      <c r="BW67" s="1"/>
      <c r="BX67" s="1">
        <v>0</v>
      </c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>
        <v>0</v>
      </c>
    </row>
    <row r="69" spans="1:245" x14ac:dyDescent="0.2">
      <c r="A69" s="2">
        <v>52</v>
      </c>
      <c r="B69" s="2">
        <f t="shared" ref="B69:G69" si="59">B75</f>
        <v>1</v>
      </c>
      <c r="C69" s="2">
        <f t="shared" si="59"/>
        <v>4</v>
      </c>
      <c r="D69" s="2">
        <f t="shared" si="59"/>
        <v>67</v>
      </c>
      <c r="E69" s="2">
        <f t="shared" si="59"/>
        <v>0</v>
      </c>
      <c r="F69" s="2" t="str">
        <f t="shared" si="59"/>
        <v>Новый раздел</v>
      </c>
      <c r="G69" s="2" t="str">
        <f t="shared" si="59"/>
        <v>Электромонтажные работы</v>
      </c>
      <c r="H69" s="2"/>
      <c r="I69" s="2"/>
      <c r="J69" s="2"/>
      <c r="K69" s="2"/>
      <c r="L69" s="2"/>
      <c r="M69" s="2"/>
      <c r="N69" s="2"/>
      <c r="O69" s="2">
        <f t="shared" ref="O69:AT69" si="60">O75</f>
        <v>8883.9500000000007</v>
      </c>
      <c r="P69" s="2">
        <f t="shared" si="60"/>
        <v>220.69</v>
      </c>
      <c r="Q69" s="2">
        <f t="shared" si="60"/>
        <v>2565.4899999999998</v>
      </c>
      <c r="R69" s="2">
        <f t="shared" si="60"/>
        <v>1821.54</v>
      </c>
      <c r="S69" s="2">
        <f t="shared" si="60"/>
        <v>6097.77</v>
      </c>
      <c r="T69" s="2">
        <f t="shared" si="60"/>
        <v>0</v>
      </c>
      <c r="U69" s="2">
        <f t="shared" si="60"/>
        <v>18.973393999999999</v>
      </c>
      <c r="V69" s="2">
        <f t="shared" si="60"/>
        <v>0</v>
      </c>
      <c r="W69" s="2">
        <f t="shared" si="60"/>
        <v>0</v>
      </c>
      <c r="X69" s="2">
        <f t="shared" si="60"/>
        <v>4695.28</v>
      </c>
      <c r="Y69" s="2">
        <f t="shared" si="60"/>
        <v>2500.09</v>
      </c>
      <c r="Z69" s="2">
        <f t="shared" si="60"/>
        <v>0</v>
      </c>
      <c r="AA69" s="2">
        <f t="shared" si="60"/>
        <v>0</v>
      </c>
      <c r="AB69" s="2">
        <f t="shared" si="60"/>
        <v>8883.9500000000007</v>
      </c>
      <c r="AC69" s="2">
        <f t="shared" si="60"/>
        <v>220.69</v>
      </c>
      <c r="AD69" s="2">
        <f t="shared" si="60"/>
        <v>2565.4899999999998</v>
      </c>
      <c r="AE69" s="2">
        <f t="shared" si="60"/>
        <v>1821.54</v>
      </c>
      <c r="AF69" s="2">
        <f t="shared" si="60"/>
        <v>6097.77</v>
      </c>
      <c r="AG69" s="2">
        <f t="shared" si="60"/>
        <v>0</v>
      </c>
      <c r="AH69" s="2">
        <f t="shared" si="60"/>
        <v>18.973393999999999</v>
      </c>
      <c r="AI69" s="2">
        <f t="shared" si="60"/>
        <v>0</v>
      </c>
      <c r="AJ69" s="2">
        <f t="shared" si="60"/>
        <v>0</v>
      </c>
      <c r="AK69" s="2">
        <f t="shared" si="60"/>
        <v>4695.28</v>
      </c>
      <c r="AL69" s="2">
        <f t="shared" si="60"/>
        <v>2500.09</v>
      </c>
      <c r="AM69" s="2">
        <f t="shared" si="60"/>
        <v>0</v>
      </c>
      <c r="AN69" s="2">
        <f t="shared" si="60"/>
        <v>0</v>
      </c>
      <c r="AO69" s="2">
        <f t="shared" si="60"/>
        <v>0</v>
      </c>
      <c r="AP69" s="2">
        <f t="shared" si="60"/>
        <v>0</v>
      </c>
      <c r="AQ69" s="2">
        <f t="shared" si="60"/>
        <v>0</v>
      </c>
      <c r="AR69" s="2">
        <f t="shared" si="60"/>
        <v>18939.150000000001</v>
      </c>
      <c r="AS69" s="2">
        <f t="shared" si="60"/>
        <v>0</v>
      </c>
      <c r="AT69" s="2">
        <f t="shared" si="60"/>
        <v>18939.150000000001</v>
      </c>
      <c r="AU69" s="2">
        <f t="shared" ref="AU69:BZ69" si="61">AU75</f>
        <v>0</v>
      </c>
      <c r="AV69" s="2">
        <f t="shared" si="61"/>
        <v>220.69</v>
      </c>
      <c r="AW69" s="2">
        <f t="shared" si="61"/>
        <v>220.69</v>
      </c>
      <c r="AX69" s="2">
        <f t="shared" si="61"/>
        <v>0</v>
      </c>
      <c r="AY69" s="2">
        <f t="shared" si="61"/>
        <v>220.69</v>
      </c>
      <c r="AZ69" s="2">
        <f t="shared" si="61"/>
        <v>0</v>
      </c>
      <c r="BA69" s="2">
        <f t="shared" si="61"/>
        <v>0</v>
      </c>
      <c r="BB69" s="2">
        <f t="shared" si="61"/>
        <v>0</v>
      </c>
      <c r="BC69" s="2">
        <f t="shared" si="61"/>
        <v>0</v>
      </c>
      <c r="BD69" s="2">
        <f t="shared" si="61"/>
        <v>0</v>
      </c>
      <c r="BE69" s="2">
        <f t="shared" si="61"/>
        <v>0</v>
      </c>
      <c r="BF69" s="2">
        <f t="shared" si="61"/>
        <v>0</v>
      </c>
      <c r="BG69" s="2">
        <f t="shared" si="61"/>
        <v>0</v>
      </c>
      <c r="BH69" s="2">
        <f t="shared" si="61"/>
        <v>0</v>
      </c>
      <c r="BI69" s="2">
        <f t="shared" si="61"/>
        <v>0</v>
      </c>
      <c r="BJ69" s="2">
        <f t="shared" si="61"/>
        <v>0</v>
      </c>
      <c r="BK69" s="2">
        <f t="shared" si="61"/>
        <v>0</v>
      </c>
      <c r="BL69" s="2">
        <f t="shared" si="61"/>
        <v>0</v>
      </c>
      <c r="BM69" s="2">
        <f t="shared" si="61"/>
        <v>0</v>
      </c>
      <c r="BN69" s="2">
        <f t="shared" si="61"/>
        <v>0</v>
      </c>
      <c r="BO69" s="2">
        <f t="shared" si="61"/>
        <v>0</v>
      </c>
      <c r="BP69" s="2">
        <f t="shared" si="61"/>
        <v>0</v>
      </c>
      <c r="BQ69" s="2">
        <f t="shared" si="61"/>
        <v>0</v>
      </c>
      <c r="BR69" s="2">
        <f t="shared" si="61"/>
        <v>0</v>
      </c>
      <c r="BS69" s="2">
        <f t="shared" si="61"/>
        <v>0</v>
      </c>
      <c r="BT69" s="2">
        <f t="shared" si="61"/>
        <v>0</v>
      </c>
      <c r="BU69" s="2">
        <f t="shared" si="61"/>
        <v>0</v>
      </c>
      <c r="BV69" s="2">
        <f t="shared" si="61"/>
        <v>0</v>
      </c>
      <c r="BW69" s="2">
        <f t="shared" si="61"/>
        <v>0</v>
      </c>
      <c r="BX69" s="2">
        <f t="shared" si="61"/>
        <v>0</v>
      </c>
      <c r="BY69" s="2">
        <f t="shared" si="61"/>
        <v>0</v>
      </c>
      <c r="BZ69" s="2">
        <f t="shared" si="61"/>
        <v>0</v>
      </c>
      <c r="CA69" s="2">
        <f t="shared" ref="CA69:DF69" si="62">CA75</f>
        <v>18939.150000000001</v>
      </c>
      <c r="CB69" s="2">
        <f t="shared" si="62"/>
        <v>0</v>
      </c>
      <c r="CC69" s="2">
        <f t="shared" si="62"/>
        <v>18939.150000000001</v>
      </c>
      <c r="CD69" s="2">
        <f t="shared" si="62"/>
        <v>0</v>
      </c>
      <c r="CE69" s="2">
        <f t="shared" si="62"/>
        <v>220.69</v>
      </c>
      <c r="CF69" s="2">
        <f t="shared" si="62"/>
        <v>220.69</v>
      </c>
      <c r="CG69" s="2">
        <f t="shared" si="62"/>
        <v>0</v>
      </c>
      <c r="CH69" s="2">
        <f t="shared" si="62"/>
        <v>220.69</v>
      </c>
      <c r="CI69" s="2">
        <f t="shared" si="62"/>
        <v>0</v>
      </c>
      <c r="CJ69" s="2">
        <f t="shared" si="62"/>
        <v>0</v>
      </c>
      <c r="CK69" s="2">
        <f t="shared" si="62"/>
        <v>0</v>
      </c>
      <c r="CL69" s="2">
        <f t="shared" si="62"/>
        <v>0</v>
      </c>
      <c r="CM69" s="2">
        <f t="shared" si="62"/>
        <v>0</v>
      </c>
      <c r="CN69" s="2">
        <f t="shared" si="62"/>
        <v>0</v>
      </c>
      <c r="CO69" s="2">
        <f t="shared" si="62"/>
        <v>0</v>
      </c>
      <c r="CP69" s="2">
        <f t="shared" si="62"/>
        <v>0</v>
      </c>
      <c r="CQ69" s="2">
        <f t="shared" si="62"/>
        <v>0</v>
      </c>
      <c r="CR69" s="2">
        <f t="shared" si="62"/>
        <v>0</v>
      </c>
      <c r="CS69" s="2">
        <f t="shared" si="62"/>
        <v>0</v>
      </c>
      <c r="CT69" s="2">
        <f t="shared" si="62"/>
        <v>0</v>
      </c>
      <c r="CU69" s="2">
        <f t="shared" si="62"/>
        <v>0</v>
      </c>
      <c r="CV69" s="2">
        <f t="shared" si="62"/>
        <v>0</v>
      </c>
      <c r="CW69" s="2">
        <f t="shared" si="62"/>
        <v>0</v>
      </c>
      <c r="CX69" s="2">
        <f t="shared" si="62"/>
        <v>0</v>
      </c>
      <c r="CY69" s="2">
        <f t="shared" si="62"/>
        <v>0</v>
      </c>
      <c r="CZ69" s="2">
        <f t="shared" si="62"/>
        <v>0</v>
      </c>
      <c r="DA69" s="2">
        <f t="shared" si="62"/>
        <v>0</v>
      </c>
      <c r="DB69" s="2">
        <f t="shared" si="62"/>
        <v>0</v>
      </c>
      <c r="DC69" s="2">
        <f t="shared" si="62"/>
        <v>0</v>
      </c>
      <c r="DD69" s="2">
        <f t="shared" si="62"/>
        <v>0</v>
      </c>
      <c r="DE69" s="2">
        <f t="shared" si="62"/>
        <v>0</v>
      </c>
      <c r="DF69" s="2">
        <f t="shared" si="62"/>
        <v>0</v>
      </c>
      <c r="DG69" s="3">
        <f t="shared" ref="DG69:EL69" si="63">DG75</f>
        <v>0</v>
      </c>
      <c r="DH69" s="3">
        <f t="shared" si="63"/>
        <v>0</v>
      </c>
      <c r="DI69" s="3">
        <f t="shared" si="63"/>
        <v>0</v>
      </c>
      <c r="DJ69" s="3">
        <f t="shared" si="63"/>
        <v>0</v>
      </c>
      <c r="DK69" s="3">
        <f t="shared" si="63"/>
        <v>0</v>
      </c>
      <c r="DL69" s="3">
        <f t="shared" si="63"/>
        <v>0</v>
      </c>
      <c r="DM69" s="3">
        <f t="shared" si="63"/>
        <v>0</v>
      </c>
      <c r="DN69" s="3">
        <f t="shared" si="63"/>
        <v>0</v>
      </c>
      <c r="DO69" s="3">
        <f t="shared" si="63"/>
        <v>0</v>
      </c>
      <c r="DP69" s="3">
        <f t="shared" si="63"/>
        <v>0</v>
      </c>
      <c r="DQ69" s="3">
        <f t="shared" si="63"/>
        <v>0</v>
      </c>
      <c r="DR69" s="3">
        <f t="shared" si="63"/>
        <v>0</v>
      </c>
      <c r="DS69" s="3">
        <f t="shared" si="63"/>
        <v>0</v>
      </c>
      <c r="DT69" s="3">
        <f t="shared" si="63"/>
        <v>0</v>
      </c>
      <c r="DU69" s="3">
        <f t="shared" si="63"/>
        <v>0</v>
      </c>
      <c r="DV69" s="3">
        <f t="shared" si="63"/>
        <v>0</v>
      </c>
      <c r="DW69" s="3">
        <f t="shared" si="63"/>
        <v>0</v>
      </c>
      <c r="DX69" s="3">
        <f t="shared" si="63"/>
        <v>0</v>
      </c>
      <c r="DY69" s="3">
        <f t="shared" si="63"/>
        <v>0</v>
      </c>
      <c r="DZ69" s="3">
        <f t="shared" si="63"/>
        <v>0</v>
      </c>
      <c r="EA69" s="3">
        <f t="shared" si="63"/>
        <v>0</v>
      </c>
      <c r="EB69" s="3">
        <f t="shared" si="63"/>
        <v>0</v>
      </c>
      <c r="EC69" s="3">
        <f t="shared" si="63"/>
        <v>0</v>
      </c>
      <c r="ED69" s="3">
        <f t="shared" si="63"/>
        <v>0</v>
      </c>
      <c r="EE69" s="3">
        <f t="shared" si="63"/>
        <v>0</v>
      </c>
      <c r="EF69" s="3">
        <f t="shared" si="63"/>
        <v>0</v>
      </c>
      <c r="EG69" s="3">
        <f t="shared" si="63"/>
        <v>0</v>
      </c>
      <c r="EH69" s="3">
        <f t="shared" si="63"/>
        <v>0</v>
      </c>
      <c r="EI69" s="3">
        <f t="shared" si="63"/>
        <v>0</v>
      </c>
      <c r="EJ69" s="3">
        <f t="shared" si="63"/>
        <v>0</v>
      </c>
      <c r="EK69" s="3">
        <f t="shared" si="63"/>
        <v>0</v>
      </c>
      <c r="EL69" s="3">
        <f t="shared" si="63"/>
        <v>0</v>
      </c>
      <c r="EM69" s="3">
        <f t="shared" ref="EM69:FR69" si="64">EM75</f>
        <v>0</v>
      </c>
      <c r="EN69" s="3">
        <f t="shared" si="64"/>
        <v>0</v>
      </c>
      <c r="EO69" s="3">
        <f t="shared" si="64"/>
        <v>0</v>
      </c>
      <c r="EP69" s="3">
        <f t="shared" si="64"/>
        <v>0</v>
      </c>
      <c r="EQ69" s="3">
        <f t="shared" si="64"/>
        <v>0</v>
      </c>
      <c r="ER69" s="3">
        <f t="shared" si="64"/>
        <v>0</v>
      </c>
      <c r="ES69" s="3">
        <f t="shared" si="64"/>
        <v>0</v>
      </c>
      <c r="ET69" s="3">
        <f t="shared" si="64"/>
        <v>0</v>
      </c>
      <c r="EU69" s="3">
        <f t="shared" si="64"/>
        <v>0</v>
      </c>
      <c r="EV69" s="3">
        <f t="shared" si="64"/>
        <v>0</v>
      </c>
      <c r="EW69" s="3">
        <f t="shared" si="64"/>
        <v>0</v>
      </c>
      <c r="EX69" s="3">
        <f t="shared" si="64"/>
        <v>0</v>
      </c>
      <c r="EY69" s="3">
        <f t="shared" si="64"/>
        <v>0</v>
      </c>
      <c r="EZ69" s="3">
        <f t="shared" si="64"/>
        <v>0</v>
      </c>
      <c r="FA69" s="3">
        <f t="shared" si="64"/>
        <v>0</v>
      </c>
      <c r="FB69" s="3">
        <f t="shared" si="64"/>
        <v>0</v>
      </c>
      <c r="FC69" s="3">
        <f t="shared" si="64"/>
        <v>0</v>
      </c>
      <c r="FD69" s="3">
        <f t="shared" si="64"/>
        <v>0</v>
      </c>
      <c r="FE69" s="3">
        <f t="shared" si="64"/>
        <v>0</v>
      </c>
      <c r="FF69" s="3">
        <f t="shared" si="64"/>
        <v>0</v>
      </c>
      <c r="FG69" s="3">
        <f t="shared" si="64"/>
        <v>0</v>
      </c>
      <c r="FH69" s="3">
        <f t="shared" si="64"/>
        <v>0</v>
      </c>
      <c r="FI69" s="3">
        <f t="shared" si="64"/>
        <v>0</v>
      </c>
      <c r="FJ69" s="3">
        <f t="shared" si="64"/>
        <v>0</v>
      </c>
      <c r="FK69" s="3">
        <f t="shared" si="64"/>
        <v>0</v>
      </c>
      <c r="FL69" s="3">
        <f t="shared" si="64"/>
        <v>0</v>
      </c>
      <c r="FM69" s="3">
        <f t="shared" si="64"/>
        <v>0</v>
      </c>
      <c r="FN69" s="3">
        <f t="shared" si="64"/>
        <v>0</v>
      </c>
      <c r="FO69" s="3">
        <f t="shared" si="64"/>
        <v>0</v>
      </c>
      <c r="FP69" s="3">
        <f t="shared" si="64"/>
        <v>0</v>
      </c>
      <c r="FQ69" s="3">
        <f t="shared" si="64"/>
        <v>0</v>
      </c>
      <c r="FR69" s="3">
        <f t="shared" si="64"/>
        <v>0</v>
      </c>
      <c r="FS69" s="3">
        <f t="shared" ref="FS69:GX69" si="65">FS75</f>
        <v>0</v>
      </c>
      <c r="FT69" s="3">
        <f t="shared" si="65"/>
        <v>0</v>
      </c>
      <c r="FU69" s="3">
        <f t="shared" si="65"/>
        <v>0</v>
      </c>
      <c r="FV69" s="3">
        <f t="shared" si="65"/>
        <v>0</v>
      </c>
      <c r="FW69" s="3">
        <f t="shared" si="65"/>
        <v>0</v>
      </c>
      <c r="FX69" s="3">
        <f t="shared" si="65"/>
        <v>0</v>
      </c>
      <c r="FY69" s="3">
        <f t="shared" si="65"/>
        <v>0</v>
      </c>
      <c r="FZ69" s="3">
        <f t="shared" si="65"/>
        <v>0</v>
      </c>
      <c r="GA69" s="3">
        <f t="shared" si="65"/>
        <v>0</v>
      </c>
      <c r="GB69" s="3">
        <f t="shared" si="65"/>
        <v>0</v>
      </c>
      <c r="GC69" s="3">
        <f t="shared" si="65"/>
        <v>0</v>
      </c>
      <c r="GD69" s="3">
        <f t="shared" si="65"/>
        <v>0</v>
      </c>
      <c r="GE69" s="3">
        <f t="shared" si="65"/>
        <v>0</v>
      </c>
      <c r="GF69" s="3">
        <f t="shared" si="65"/>
        <v>0</v>
      </c>
      <c r="GG69" s="3">
        <f t="shared" si="65"/>
        <v>0</v>
      </c>
      <c r="GH69" s="3">
        <f t="shared" si="65"/>
        <v>0</v>
      </c>
      <c r="GI69" s="3">
        <f t="shared" si="65"/>
        <v>0</v>
      </c>
      <c r="GJ69" s="3">
        <f t="shared" si="65"/>
        <v>0</v>
      </c>
      <c r="GK69" s="3">
        <f t="shared" si="65"/>
        <v>0</v>
      </c>
      <c r="GL69" s="3">
        <f t="shared" si="65"/>
        <v>0</v>
      </c>
      <c r="GM69" s="3">
        <f t="shared" si="65"/>
        <v>0</v>
      </c>
      <c r="GN69" s="3">
        <f t="shared" si="65"/>
        <v>0</v>
      </c>
      <c r="GO69" s="3">
        <f t="shared" si="65"/>
        <v>0</v>
      </c>
      <c r="GP69" s="3">
        <f t="shared" si="65"/>
        <v>0</v>
      </c>
      <c r="GQ69" s="3">
        <f t="shared" si="65"/>
        <v>0</v>
      </c>
      <c r="GR69" s="3">
        <f t="shared" si="65"/>
        <v>0</v>
      </c>
      <c r="GS69" s="3">
        <f t="shared" si="65"/>
        <v>0</v>
      </c>
      <c r="GT69" s="3">
        <f t="shared" si="65"/>
        <v>0</v>
      </c>
      <c r="GU69" s="3">
        <f t="shared" si="65"/>
        <v>0</v>
      </c>
      <c r="GV69" s="3">
        <f t="shared" si="65"/>
        <v>0</v>
      </c>
      <c r="GW69" s="3">
        <f t="shared" si="65"/>
        <v>0</v>
      </c>
      <c r="GX69" s="3">
        <f t="shared" si="65"/>
        <v>0</v>
      </c>
    </row>
    <row r="71" spans="1:245" x14ac:dyDescent="0.2">
      <c r="A71">
        <v>17</v>
      </c>
      <c r="B71">
        <v>1</v>
      </c>
      <c r="E71" t="s">
        <v>128</v>
      </c>
      <c r="F71" t="s">
        <v>129</v>
      </c>
      <c r="G71" t="s">
        <v>130</v>
      </c>
      <c r="H71" t="s">
        <v>44</v>
      </c>
      <c r="I71">
        <f>ROUND((65*1.02)/100,9)</f>
        <v>0.66300000000000003</v>
      </c>
      <c r="J71">
        <v>0</v>
      </c>
      <c r="O71">
        <f>ROUND(CP71,2)</f>
        <v>6698.85</v>
      </c>
      <c r="P71">
        <f>ROUND((ROUND((AC71*AW71*I71),2)*BC71),2)</f>
        <v>97.92</v>
      </c>
      <c r="Q71">
        <f>(ROUND((ROUND(((ET71)*AV71*I71),2)*BB71),2)+ROUND((ROUND(((AE71-(EU71))*AV71*I71),2)*BS71),2))</f>
        <v>2530.9499999999998</v>
      </c>
      <c r="R71">
        <f>ROUND((ROUND((AE71*AV71*I71),2)*BS71),2)</f>
        <v>1803.17</v>
      </c>
      <c r="S71">
        <f>ROUND((ROUND((AF71*AV71*I71),2)*BA71),2)</f>
        <v>4069.98</v>
      </c>
      <c r="T71">
        <f>ROUND(CU71*I71,2)</f>
        <v>0</v>
      </c>
      <c r="U71">
        <f>CV71*I71</f>
        <v>13.299514800000001</v>
      </c>
      <c r="V71">
        <f>CW71*I71</f>
        <v>0</v>
      </c>
      <c r="W71">
        <f>ROUND(CX71*I71,2)</f>
        <v>0</v>
      </c>
      <c r="X71">
        <f t="shared" ref="X71:Y73" si="66">ROUND(CY71,2)</f>
        <v>3133.88</v>
      </c>
      <c r="Y71">
        <f t="shared" si="66"/>
        <v>1668.69</v>
      </c>
      <c r="AA71">
        <v>23689695</v>
      </c>
      <c r="AB71">
        <f>ROUND((AC71+AD71+AF71),6)</f>
        <v>858.92</v>
      </c>
      <c r="AC71">
        <f>ROUND((ES71),6)</f>
        <v>25.83</v>
      </c>
      <c r="AD71">
        <f>ROUND((((ET71)-(EU71))+AE71),6)</f>
        <v>601.29</v>
      </c>
      <c r="AE71">
        <f t="shared" ref="AE71:AF73" si="67">ROUND((EU71),6)</f>
        <v>102.7</v>
      </c>
      <c r="AF71">
        <f t="shared" si="67"/>
        <v>231.8</v>
      </c>
      <c r="AG71">
        <f>ROUND((AP71),6)</f>
        <v>0</v>
      </c>
      <c r="AH71">
        <f t="shared" ref="AH71:AI73" si="68">(EW71)</f>
        <v>18.8</v>
      </c>
      <c r="AI71">
        <f t="shared" si="68"/>
        <v>0</v>
      </c>
      <c r="AJ71">
        <f>(AS71)</f>
        <v>0</v>
      </c>
      <c r="AK71">
        <v>858.92</v>
      </c>
      <c r="AL71">
        <v>25.83</v>
      </c>
      <c r="AM71">
        <v>601.29</v>
      </c>
      <c r="AN71">
        <v>102.7</v>
      </c>
      <c r="AO71">
        <v>231.8</v>
      </c>
      <c r="AP71">
        <v>0</v>
      </c>
      <c r="AQ71">
        <v>18.8</v>
      </c>
      <c r="AR71">
        <v>0</v>
      </c>
      <c r="AS71">
        <v>0</v>
      </c>
      <c r="AT71">
        <v>77</v>
      </c>
      <c r="AU71">
        <v>41</v>
      </c>
      <c r="AV71">
        <v>1.0669999999999999</v>
      </c>
      <c r="AW71">
        <v>1.081</v>
      </c>
      <c r="AZ71">
        <v>1</v>
      </c>
      <c r="BA71">
        <v>24.82</v>
      </c>
      <c r="BB71">
        <v>5.95</v>
      </c>
      <c r="BC71">
        <v>5.29</v>
      </c>
      <c r="BD71" t="s">
        <v>3</v>
      </c>
      <c r="BE71" t="s">
        <v>3</v>
      </c>
      <c r="BF71" t="s">
        <v>3</v>
      </c>
      <c r="BG71" t="s">
        <v>3</v>
      </c>
      <c r="BH71">
        <v>0</v>
      </c>
      <c r="BI71">
        <v>2</v>
      </c>
      <c r="BJ71" t="s">
        <v>131</v>
      </c>
      <c r="BM71">
        <v>318</v>
      </c>
      <c r="BN71">
        <v>0</v>
      </c>
      <c r="BO71" t="s">
        <v>129</v>
      </c>
      <c r="BP71">
        <v>1</v>
      </c>
      <c r="BQ71">
        <v>40</v>
      </c>
      <c r="BR71">
        <v>0</v>
      </c>
      <c r="BS71">
        <v>24.82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77</v>
      </c>
      <c r="CA71">
        <v>41</v>
      </c>
      <c r="CE71">
        <v>30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>(P71+Q71+S71)</f>
        <v>6698.85</v>
      </c>
      <c r="CQ71">
        <f>ROUND((ROUND((AC71*AW71*1),2)*BC71),2)</f>
        <v>147.69999999999999</v>
      </c>
      <c r="CR71">
        <f>(ROUND((ROUND(((ET71)*AV71*1),2)*BB71),2)+ROUND((ROUND(((AE71-(EU71))*AV71*1),2)*BS71),2))</f>
        <v>3817.4</v>
      </c>
      <c r="CS71">
        <f>ROUND((ROUND((AE71*AV71*1),2)*BS71),2)</f>
        <v>2719.78</v>
      </c>
      <c r="CT71">
        <f>ROUND((ROUND((AF71*AV71*1),2)*BA71),2)</f>
        <v>6138.73</v>
      </c>
      <c r="CU71">
        <f>AG71</f>
        <v>0</v>
      </c>
      <c r="CV71">
        <f>(AH71*AV71)</f>
        <v>20.0596</v>
      </c>
      <c r="CW71">
        <f t="shared" ref="CW71:CX73" si="69">AI71</f>
        <v>0</v>
      </c>
      <c r="CX71">
        <f t="shared" si="69"/>
        <v>0</v>
      </c>
      <c r="CY71">
        <f>S71*(BZ71/100)</f>
        <v>3133.8845999999999</v>
      </c>
      <c r="CZ71">
        <f>S71*(CA71/100)</f>
        <v>1668.6917999999998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114</v>
      </c>
      <c r="DO71">
        <v>67</v>
      </c>
      <c r="DP71">
        <v>1.0669999999999999</v>
      </c>
      <c r="DQ71">
        <v>1.081</v>
      </c>
      <c r="DU71">
        <v>1003</v>
      </c>
      <c r="DV71" t="s">
        <v>44</v>
      </c>
      <c r="DW71" t="s">
        <v>44</v>
      </c>
      <c r="DX71">
        <v>100</v>
      </c>
      <c r="DZ71" t="s">
        <v>3</v>
      </c>
      <c r="EA71" t="s">
        <v>3</v>
      </c>
      <c r="EB71" t="s">
        <v>3</v>
      </c>
      <c r="EC71" t="s">
        <v>3</v>
      </c>
      <c r="EE71">
        <v>22827159</v>
      </c>
      <c r="EF71">
        <v>40</v>
      </c>
      <c r="EG71" t="s">
        <v>46</v>
      </c>
      <c r="EH71">
        <v>0</v>
      </c>
      <c r="EI71" t="s">
        <v>3</v>
      </c>
      <c r="EJ71">
        <v>2</v>
      </c>
      <c r="EK71">
        <v>318</v>
      </c>
      <c r="EL71" t="s">
        <v>47</v>
      </c>
      <c r="EM71" t="s">
        <v>48</v>
      </c>
      <c r="EO71" t="s">
        <v>3</v>
      </c>
      <c r="EQ71">
        <v>0</v>
      </c>
      <c r="ER71">
        <v>858.92</v>
      </c>
      <c r="ES71">
        <v>25.83</v>
      </c>
      <c r="ET71">
        <v>601.29</v>
      </c>
      <c r="EU71">
        <v>102.7</v>
      </c>
      <c r="EV71">
        <v>231.8</v>
      </c>
      <c r="EW71">
        <v>18.8</v>
      </c>
      <c r="EX71">
        <v>0</v>
      </c>
      <c r="EY71">
        <v>0</v>
      </c>
      <c r="FQ71">
        <v>0</v>
      </c>
      <c r="FR71">
        <f>ROUND(IF(AND(BH71=3,BI71=3),P71,0),2)</f>
        <v>0</v>
      </c>
      <c r="FS71">
        <v>0</v>
      </c>
      <c r="FX71">
        <v>114</v>
      </c>
      <c r="FY71">
        <v>67</v>
      </c>
      <c r="GA71" t="s">
        <v>3</v>
      </c>
      <c r="GD71">
        <v>0</v>
      </c>
      <c r="GF71">
        <v>1691868652</v>
      </c>
      <c r="GG71">
        <v>2</v>
      </c>
      <c r="GH71">
        <v>1</v>
      </c>
      <c r="GI71">
        <v>2</v>
      </c>
      <c r="GJ71">
        <v>0</v>
      </c>
      <c r="GK71">
        <f>ROUND(R71*(R12)/100,2)</f>
        <v>2830.98</v>
      </c>
      <c r="GL71">
        <f>ROUND(IF(AND(BH71=3,BI71=3,FS71&lt;&gt;0),P71,0),2)</f>
        <v>0</v>
      </c>
      <c r="GM71">
        <f>ROUND(O71+X71+Y71+GK71,2)+GX71</f>
        <v>14332.4</v>
      </c>
      <c r="GN71">
        <f>IF(OR(BI71=0,BI71=1),ROUND(O71+X71+Y71+GK71,2),0)</f>
        <v>0</v>
      </c>
      <c r="GO71">
        <f>IF(BI71=2,ROUND(O71+X71+Y71+GK71,2),0)</f>
        <v>14332.4</v>
      </c>
      <c r="GP71">
        <f>IF(BI71=4,ROUND(O71+X71+Y71+GK71,2)+GX71,0)</f>
        <v>0</v>
      </c>
      <c r="GR71">
        <v>0</v>
      </c>
      <c r="GS71">
        <v>3</v>
      </c>
      <c r="GT71">
        <v>0</v>
      </c>
      <c r="GU71" t="s">
        <v>3</v>
      </c>
      <c r="GV71">
        <f>ROUND((GT71),6)</f>
        <v>0</v>
      </c>
      <c r="GW71">
        <v>1</v>
      </c>
      <c r="GX71">
        <f>ROUND(HC71*I71,2)</f>
        <v>0</v>
      </c>
      <c r="HA71">
        <v>0</v>
      </c>
      <c r="HB71">
        <v>0</v>
      </c>
      <c r="HC71">
        <f>GV71*GW71</f>
        <v>0</v>
      </c>
      <c r="HE71" t="s">
        <v>3</v>
      </c>
      <c r="HF71" t="s">
        <v>3</v>
      </c>
      <c r="IK71">
        <v>0</v>
      </c>
    </row>
    <row r="72" spans="1:245" x14ac:dyDescent="0.2">
      <c r="A72">
        <v>17</v>
      </c>
      <c r="B72">
        <v>1</v>
      </c>
      <c r="E72" t="s">
        <v>132</v>
      </c>
      <c r="F72" t="s">
        <v>133</v>
      </c>
      <c r="G72" t="s">
        <v>134</v>
      </c>
      <c r="H72" t="s">
        <v>44</v>
      </c>
      <c r="I72">
        <f>ROUND(I32,9)</f>
        <v>1.2E-2</v>
      </c>
      <c r="J72">
        <v>0</v>
      </c>
      <c r="O72">
        <f>ROUND(CP72,2)</f>
        <v>114.51</v>
      </c>
      <c r="P72">
        <f>ROUND((ROUND((AC72*AW72*I72),2)*BC72),2)</f>
        <v>2.4900000000000002</v>
      </c>
      <c r="Q72">
        <f>(ROUND((ROUND(((ET72)*AV72*I72),2)*BB72),2)+ROUND((ROUND(((AE72-(EU72))*AV72*I72),2)*BS72),2))</f>
        <v>14.73</v>
      </c>
      <c r="R72">
        <f>ROUND((ROUND((AE72*AV72*I72),2)*BS72),2)</f>
        <v>9.43</v>
      </c>
      <c r="S72">
        <f>ROUND((ROUND((AF72*AV72*I72),2)*BA72),2)</f>
        <v>97.29</v>
      </c>
      <c r="T72">
        <f>ROUND(CU72*I72,2)</f>
        <v>0</v>
      </c>
      <c r="U72">
        <f>CV72*I72</f>
        <v>0.31753920000000002</v>
      </c>
      <c r="V72">
        <f>CW72*I72</f>
        <v>0</v>
      </c>
      <c r="W72">
        <f>ROUND(CX72*I72,2)</f>
        <v>0</v>
      </c>
      <c r="X72">
        <f t="shared" si="66"/>
        <v>74.91</v>
      </c>
      <c r="Y72">
        <f t="shared" si="66"/>
        <v>39.89</v>
      </c>
      <c r="AA72">
        <v>23689695</v>
      </c>
      <c r="AB72">
        <f>ROUND((AC72+AD72+AF72),6)</f>
        <v>472.54</v>
      </c>
      <c r="AC72">
        <f>ROUND((ES72),6)</f>
        <v>36.19</v>
      </c>
      <c r="AD72">
        <f>ROUND((((ET72)-(EU72))+AE72),6)</f>
        <v>130.57</v>
      </c>
      <c r="AE72">
        <f t="shared" si="67"/>
        <v>29.79</v>
      </c>
      <c r="AF72">
        <f t="shared" si="67"/>
        <v>305.77999999999997</v>
      </c>
      <c r="AG72">
        <f>ROUND((AP72),6)</f>
        <v>0</v>
      </c>
      <c r="AH72">
        <f t="shared" si="68"/>
        <v>24.8</v>
      </c>
      <c r="AI72">
        <f t="shared" si="68"/>
        <v>0</v>
      </c>
      <c r="AJ72">
        <f>(AS72)</f>
        <v>0</v>
      </c>
      <c r="AK72">
        <v>472.54</v>
      </c>
      <c r="AL72">
        <v>36.19</v>
      </c>
      <c r="AM72">
        <v>130.57</v>
      </c>
      <c r="AN72">
        <v>29.79</v>
      </c>
      <c r="AO72">
        <v>305.77999999999997</v>
      </c>
      <c r="AP72">
        <v>0</v>
      </c>
      <c r="AQ72">
        <v>24.8</v>
      </c>
      <c r="AR72">
        <v>0</v>
      </c>
      <c r="AS72">
        <v>0</v>
      </c>
      <c r="AT72">
        <v>77</v>
      </c>
      <c r="AU72">
        <v>41</v>
      </c>
      <c r="AV72">
        <v>1.0669999999999999</v>
      </c>
      <c r="AW72">
        <v>1.081</v>
      </c>
      <c r="AZ72">
        <v>1</v>
      </c>
      <c r="BA72">
        <v>24.82</v>
      </c>
      <c r="BB72">
        <v>8.82</v>
      </c>
      <c r="BC72">
        <v>5.29</v>
      </c>
      <c r="BD72" t="s">
        <v>3</v>
      </c>
      <c r="BE72" t="s">
        <v>3</v>
      </c>
      <c r="BF72" t="s">
        <v>3</v>
      </c>
      <c r="BG72" t="s">
        <v>3</v>
      </c>
      <c r="BH72">
        <v>0</v>
      </c>
      <c r="BI72">
        <v>2</v>
      </c>
      <c r="BJ72" t="s">
        <v>135</v>
      </c>
      <c r="BM72">
        <v>318</v>
      </c>
      <c r="BN72">
        <v>0</v>
      </c>
      <c r="BO72" t="s">
        <v>133</v>
      </c>
      <c r="BP72">
        <v>1</v>
      </c>
      <c r="BQ72">
        <v>40</v>
      </c>
      <c r="BR72">
        <v>0</v>
      </c>
      <c r="BS72">
        <v>24.82</v>
      </c>
      <c r="BT72">
        <v>1</v>
      </c>
      <c r="BU72">
        <v>1</v>
      </c>
      <c r="BV72">
        <v>1</v>
      </c>
      <c r="BW72">
        <v>1</v>
      </c>
      <c r="BX72">
        <v>1</v>
      </c>
      <c r="BY72" t="s">
        <v>3</v>
      </c>
      <c r="BZ72">
        <v>77</v>
      </c>
      <c r="CA72">
        <v>41</v>
      </c>
      <c r="CE72">
        <v>30</v>
      </c>
      <c r="CF72">
        <v>0</v>
      </c>
      <c r="CG72">
        <v>0</v>
      </c>
      <c r="CM72">
        <v>0</v>
      </c>
      <c r="CN72" t="s">
        <v>3</v>
      </c>
      <c r="CO72">
        <v>0</v>
      </c>
      <c r="CP72">
        <f>(P72+Q72+S72)</f>
        <v>114.51</v>
      </c>
      <c r="CQ72">
        <f>ROUND((ROUND((AC72*AW72*1),2)*BC72),2)</f>
        <v>206.94</v>
      </c>
      <c r="CR72">
        <f>(ROUND((ROUND(((ET72)*AV72*1),2)*BB72),2)+ROUND((ROUND(((AE72-(EU72))*AV72*1),2)*BS72),2))</f>
        <v>1228.8</v>
      </c>
      <c r="CS72">
        <f>ROUND((ROUND((AE72*AV72*1),2)*BS72),2)</f>
        <v>789.03</v>
      </c>
      <c r="CT72">
        <f>ROUND((ROUND((AF72*AV72*1),2)*BA72),2)</f>
        <v>8098.02</v>
      </c>
      <c r="CU72">
        <f>AG72</f>
        <v>0</v>
      </c>
      <c r="CV72">
        <f>(AH72*AV72)</f>
        <v>26.461600000000001</v>
      </c>
      <c r="CW72">
        <f t="shared" si="69"/>
        <v>0</v>
      </c>
      <c r="CX72">
        <f t="shared" si="69"/>
        <v>0</v>
      </c>
      <c r="CY72">
        <f>S72*(BZ72/100)</f>
        <v>74.913300000000007</v>
      </c>
      <c r="CZ72">
        <f>S72*(CA72/100)</f>
        <v>39.8889</v>
      </c>
      <c r="DC72" t="s">
        <v>3</v>
      </c>
      <c r="DD72" t="s">
        <v>3</v>
      </c>
      <c r="DE72" t="s">
        <v>3</v>
      </c>
      <c r="DF72" t="s">
        <v>3</v>
      </c>
      <c r="DG72" t="s">
        <v>3</v>
      </c>
      <c r="DH72" t="s">
        <v>3</v>
      </c>
      <c r="DI72" t="s">
        <v>3</v>
      </c>
      <c r="DJ72" t="s">
        <v>3</v>
      </c>
      <c r="DK72" t="s">
        <v>3</v>
      </c>
      <c r="DL72" t="s">
        <v>3</v>
      </c>
      <c r="DM72" t="s">
        <v>3</v>
      </c>
      <c r="DN72">
        <v>114</v>
      </c>
      <c r="DO72">
        <v>67</v>
      </c>
      <c r="DP72">
        <v>1.0669999999999999</v>
      </c>
      <c r="DQ72">
        <v>1.081</v>
      </c>
      <c r="DU72">
        <v>1003</v>
      </c>
      <c r="DV72" t="s">
        <v>44</v>
      </c>
      <c r="DW72" t="s">
        <v>44</v>
      </c>
      <c r="DX72">
        <v>100</v>
      </c>
      <c r="DZ72" t="s">
        <v>3</v>
      </c>
      <c r="EA72" t="s">
        <v>3</v>
      </c>
      <c r="EB72" t="s">
        <v>3</v>
      </c>
      <c r="EC72" t="s">
        <v>3</v>
      </c>
      <c r="EE72">
        <v>22827159</v>
      </c>
      <c r="EF72">
        <v>40</v>
      </c>
      <c r="EG72" t="s">
        <v>46</v>
      </c>
      <c r="EH72">
        <v>0</v>
      </c>
      <c r="EI72" t="s">
        <v>3</v>
      </c>
      <c r="EJ72">
        <v>2</v>
      </c>
      <c r="EK72">
        <v>318</v>
      </c>
      <c r="EL72" t="s">
        <v>47</v>
      </c>
      <c r="EM72" t="s">
        <v>48</v>
      </c>
      <c r="EO72" t="s">
        <v>3</v>
      </c>
      <c r="EQ72">
        <v>0</v>
      </c>
      <c r="ER72">
        <v>472.54</v>
      </c>
      <c r="ES72">
        <v>36.19</v>
      </c>
      <c r="ET72">
        <v>130.57</v>
      </c>
      <c r="EU72">
        <v>29.79</v>
      </c>
      <c r="EV72">
        <v>305.77999999999997</v>
      </c>
      <c r="EW72">
        <v>24.8</v>
      </c>
      <c r="EX72">
        <v>0</v>
      </c>
      <c r="EY72">
        <v>0</v>
      </c>
      <c r="FQ72">
        <v>0</v>
      </c>
      <c r="FR72">
        <f>ROUND(IF(AND(BH72=3,BI72=3),P72,0),2)</f>
        <v>0</v>
      </c>
      <c r="FS72">
        <v>0</v>
      </c>
      <c r="FX72">
        <v>114</v>
      </c>
      <c r="FY72">
        <v>67</v>
      </c>
      <c r="GA72" t="s">
        <v>3</v>
      </c>
      <c r="GD72">
        <v>0</v>
      </c>
      <c r="GF72">
        <v>1552839287</v>
      </c>
      <c r="GG72">
        <v>2</v>
      </c>
      <c r="GH72">
        <v>1</v>
      </c>
      <c r="GI72">
        <v>2</v>
      </c>
      <c r="GJ72">
        <v>0</v>
      </c>
      <c r="GK72">
        <f>ROUND(R72*(R12)/100,2)</f>
        <v>14.81</v>
      </c>
      <c r="GL72">
        <f>ROUND(IF(AND(BH72=3,BI72=3,FS72&lt;&gt;0),P72,0),2)</f>
        <v>0</v>
      </c>
      <c r="GM72">
        <f>ROUND(O72+X72+Y72+GK72,2)+GX72</f>
        <v>244.12</v>
      </c>
      <c r="GN72">
        <f>IF(OR(BI72=0,BI72=1),ROUND(O72+X72+Y72+GK72,2),0)</f>
        <v>0</v>
      </c>
      <c r="GO72">
        <f>IF(BI72=2,ROUND(O72+X72+Y72+GK72,2),0)</f>
        <v>244.12</v>
      </c>
      <c r="GP72">
        <f>IF(BI72=4,ROUND(O72+X72+Y72+GK72,2)+GX72,0)</f>
        <v>0</v>
      </c>
      <c r="GR72">
        <v>0</v>
      </c>
      <c r="GS72">
        <v>3</v>
      </c>
      <c r="GT72">
        <v>0</v>
      </c>
      <c r="GU72" t="s">
        <v>3</v>
      </c>
      <c r="GV72">
        <f>ROUND((GT72),6)</f>
        <v>0</v>
      </c>
      <c r="GW72">
        <v>1</v>
      </c>
      <c r="GX72">
        <f>ROUND(HC72*I72,2)</f>
        <v>0</v>
      </c>
      <c r="HA72">
        <v>0</v>
      </c>
      <c r="HB72">
        <v>0</v>
      </c>
      <c r="HC72">
        <f>GV72*GW72</f>
        <v>0</v>
      </c>
      <c r="HE72" t="s">
        <v>3</v>
      </c>
      <c r="HF72" t="s">
        <v>3</v>
      </c>
      <c r="IK72">
        <v>0</v>
      </c>
    </row>
    <row r="73" spans="1:245" x14ac:dyDescent="0.2">
      <c r="A73">
        <v>17</v>
      </c>
      <c r="B73">
        <v>1</v>
      </c>
      <c r="C73">
        <f>ROW(SmtRes!A10)</f>
        <v>10</v>
      </c>
      <c r="D73">
        <f>ROW(EtalonRes!A11)</f>
        <v>11</v>
      </c>
      <c r="E73" t="s">
        <v>136</v>
      </c>
      <c r="F73" t="s">
        <v>137</v>
      </c>
      <c r="G73" t="s">
        <v>138</v>
      </c>
      <c r="H73" t="s">
        <v>65</v>
      </c>
      <c r="I73">
        <v>2</v>
      </c>
      <c r="J73">
        <v>0</v>
      </c>
      <c r="O73">
        <f>ROUND(CP73,2)</f>
        <v>2070.59</v>
      </c>
      <c r="P73">
        <f>ROUND((ROUND((AC73*AW73*I73),2)*BC73),2)</f>
        <v>120.28</v>
      </c>
      <c r="Q73">
        <f>(ROUND((ROUND(((ET73)*AV73*I73),2)*BB73),2)+ROUND((ROUND(((AE73-(EU73))*AV73*I73),2)*BS73),2))</f>
        <v>19.809999999999999</v>
      </c>
      <c r="R73">
        <f>ROUND((ROUND((AE73*AV73*I73),2)*BS73),2)</f>
        <v>8.94</v>
      </c>
      <c r="S73">
        <f>ROUND((ROUND((AF73*AV73*I73),2)*BA73),2)</f>
        <v>1930.5</v>
      </c>
      <c r="T73">
        <f>ROUND(CU73*I73,2)</f>
        <v>0</v>
      </c>
      <c r="U73">
        <f>CV73*I73</f>
        <v>5.3563399999999994</v>
      </c>
      <c r="V73">
        <f>CW73*I73</f>
        <v>0</v>
      </c>
      <c r="W73">
        <f>ROUND(CX73*I73,2)</f>
        <v>0</v>
      </c>
      <c r="X73">
        <f t="shared" si="66"/>
        <v>1486.49</v>
      </c>
      <c r="Y73">
        <f t="shared" si="66"/>
        <v>791.51</v>
      </c>
      <c r="AA73">
        <v>23689695</v>
      </c>
      <c r="AB73">
        <f>ROUND((AC73+AD73+AF73),6)</f>
        <v>45.16</v>
      </c>
      <c r="AC73">
        <f>ROUND((ES73),6)</f>
        <v>7.53</v>
      </c>
      <c r="AD73">
        <f>ROUND((((ET73)-(EU73))+AE73),6)</f>
        <v>1.18</v>
      </c>
      <c r="AE73">
        <f t="shared" si="67"/>
        <v>0.17</v>
      </c>
      <c r="AF73">
        <f t="shared" si="67"/>
        <v>36.450000000000003</v>
      </c>
      <c r="AG73">
        <f>ROUND((AP73),6)</f>
        <v>0</v>
      </c>
      <c r="AH73">
        <f t="shared" si="68"/>
        <v>2.5099999999999998</v>
      </c>
      <c r="AI73">
        <f t="shared" si="68"/>
        <v>0</v>
      </c>
      <c r="AJ73">
        <f>(AS73)</f>
        <v>0</v>
      </c>
      <c r="AK73">
        <v>45.16</v>
      </c>
      <c r="AL73">
        <v>7.53</v>
      </c>
      <c r="AM73">
        <v>1.18</v>
      </c>
      <c r="AN73">
        <v>0.17</v>
      </c>
      <c r="AO73">
        <v>36.450000000000003</v>
      </c>
      <c r="AP73">
        <v>0</v>
      </c>
      <c r="AQ73">
        <v>2.5099999999999998</v>
      </c>
      <c r="AR73">
        <v>0</v>
      </c>
      <c r="AS73">
        <v>0</v>
      </c>
      <c r="AT73">
        <v>77</v>
      </c>
      <c r="AU73">
        <v>41</v>
      </c>
      <c r="AV73">
        <v>1.0669999999999999</v>
      </c>
      <c r="AW73">
        <v>1.028</v>
      </c>
      <c r="AZ73">
        <v>1</v>
      </c>
      <c r="BA73">
        <v>24.82</v>
      </c>
      <c r="BB73">
        <v>7.86</v>
      </c>
      <c r="BC73">
        <v>7.77</v>
      </c>
      <c r="BD73" t="s">
        <v>3</v>
      </c>
      <c r="BE73" t="s">
        <v>3</v>
      </c>
      <c r="BF73" t="s">
        <v>3</v>
      </c>
      <c r="BG73" t="s">
        <v>3</v>
      </c>
      <c r="BH73">
        <v>0</v>
      </c>
      <c r="BI73">
        <v>2</v>
      </c>
      <c r="BJ73" t="s">
        <v>139</v>
      </c>
      <c r="BM73">
        <v>1608</v>
      </c>
      <c r="BN73">
        <v>0</v>
      </c>
      <c r="BO73" t="s">
        <v>137</v>
      </c>
      <c r="BP73">
        <v>1</v>
      </c>
      <c r="BQ73">
        <v>40</v>
      </c>
      <c r="BR73">
        <v>0</v>
      </c>
      <c r="BS73">
        <v>24.82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77</v>
      </c>
      <c r="CA73">
        <v>41</v>
      </c>
      <c r="CE73">
        <v>30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>(P73+Q73+S73)</f>
        <v>2070.59</v>
      </c>
      <c r="CQ73">
        <f>ROUND((ROUND((AC73*AW73*1),2)*BC73),2)</f>
        <v>60.14</v>
      </c>
      <c r="CR73">
        <f>(ROUND((ROUND(((ET73)*AV73*1),2)*BB73),2)+ROUND((ROUND(((AE73-(EU73))*AV73*1),2)*BS73),2))</f>
        <v>9.9</v>
      </c>
      <c r="CS73">
        <f>ROUND((ROUND((AE73*AV73*1),2)*BS73),2)</f>
        <v>4.47</v>
      </c>
      <c r="CT73">
        <f>ROUND((ROUND((AF73*AV73*1),2)*BA73),2)</f>
        <v>965.25</v>
      </c>
      <c r="CU73">
        <f>AG73</f>
        <v>0</v>
      </c>
      <c r="CV73">
        <f>(AH73*AV73)</f>
        <v>2.6781699999999997</v>
      </c>
      <c r="CW73">
        <f t="shared" si="69"/>
        <v>0</v>
      </c>
      <c r="CX73">
        <f t="shared" si="69"/>
        <v>0</v>
      </c>
      <c r="CY73">
        <f>S73*(BZ73/100)</f>
        <v>1486.4850000000001</v>
      </c>
      <c r="CZ73">
        <f>S73*(CA73/100)</f>
        <v>791.505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114</v>
      </c>
      <c r="DO73">
        <v>67</v>
      </c>
      <c r="DP73">
        <v>1.0669999999999999</v>
      </c>
      <c r="DQ73">
        <v>1.081</v>
      </c>
      <c r="DU73">
        <v>1010</v>
      </c>
      <c r="DV73" t="s">
        <v>65</v>
      </c>
      <c r="DW73" t="s">
        <v>65</v>
      </c>
      <c r="DX73">
        <v>1</v>
      </c>
      <c r="DZ73" t="s">
        <v>3</v>
      </c>
      <c r="EA73" t="s">
        <v>3</v>
      </c>
      <c r="EB73" t="s">
        <v>3</v>
      </c>
      <c r="EC73" t="s">
        <v>3</v>
      </c>
      <c r="EE73">
        <v>22828449</v>
      </c>
      <c r="EF73">
        <v>40</v>
      </c>
      <c r="EG73" t="s">
        <v>46</v>
      </c>
      <c r="EH73">
        <v>0</v>
      </c>
      <c r="EI73" t="s">
        <v>3</v>
      </c>
      <c r="EJ73">
        <v>2</v>
      </c>
      <c r="EK73">
        <v>1608</v>
      </c>
      <c r="EL73" t="s">
        <v>140</v>
      </c>
      <c r="EM73" t="s">
        <v>141</v>
      </c>
      <c r="EO73" t="s">
        <v>3</v>
      </c>
      <c r="EQ73">
        <v>0</v>
      </c>
      <c r="ER73">
        <v>45.16</v>
      </c>
      <c r="ES73">
        <v>7.53</v>
      </c>
      <c r="ET73">
        <v>1.18</v>
      </c>
      <c r="EU73">
        <v>0.17</v>
      </c>
      <c r="EV73">
        <v>36.450000000000003</v>
      </c>
      <c r="EW73">
        <v>2.5099999999999998</v>
      </c>
      <c r="EX73">
        <v>0</v>
      </c>
      <c r="EY73">
        <v>0</v>
      </c>
      <c r="FQ73">
        <v>0</v>
      </c>
      <c r="FR73">
        <f>ROUND(IF(AND(BH73=3,BI73=3),P73,0),2)</f>
        <v>0</v>
      </c>
      <c r="FS73">
        <v>0</v>
      </c>
      <c r="FX73">
        <v>114</v>
      </c>
      <c r="FY73">
        <v>67</v>
      </c>
      <c r="GA73" t="s">
        <v>3</v>
      </c>
      <c r="GD73">
        <v>0</v>
      </c>
      <c r="GF73">
        <v>493549640</v>
      </c>
      <c r="GG73">
        <v>2</v>
      </c>
      <c r="GH73">
        <v>1</v>
      </c>
      <c r="GI73">
        <v>2</v>
      </c>
      <c r="GJ73">
        <v>0</v>
      </c>
      <c r="GK73">
        <f>ROUND(R73*(R12)/100,2)</f>
        <v>14.04</v>
      </c>
      <c r="GL73">
        <f>ROUND(IF(AND(BH73=3,BI73=3,FS73&lt;&gt;0),P73,0),2)</f>
        <v>0</v>
      </c>
      <c r="GM73">
        <f>ROUND(O73+X73+Y73+GK73,2)+GX73</f>
        <v>4362.63</v>
      </c>
      <c r="GN73">
        <f>IF(OR(BI73=0,BI73=1),ROUND(O73+X73+Y73+GK73,2),0)</f>
        <v>0</v>
      </c>
      <c r="GO73">
        <f>IF(BI73=2,ROUND(O73+X73+Y73+GK73,2),0)</f>
        <v>4362.63</v>
      </c>
      <c r="GP73">
        <f>IF(BI73=4,ROUND(O73+X73+Y73+GK73,2)+GX73,0)</f>
        <v>0</v>
      </c>
      <c r="GR73">
        <v>0</v>
      </c>
      <c r="GS73">
        <v>3</v>
      </c>
      <c r="GT73">
        <v>0</v>
      </c>
      <c r="GU73" t="s">
        <v>3</v>
      </c>
      <c r="GV73">
        <f>ROUND((GT73),6)</f>
        <v>0</v>
      </c>
      <c r="GW73">
        <v>1</v>
      </c>
      <c r="GX73">
        <f>ROUND(HC73*I73,2)</f>
        <v>0</v>
      </c>
      <c r="HA73">
        <v>0</v>
      </c>
      <c r="HB73">
        <v>0</v>
      </c>
      <c r="HC73">
        <f>GV73*GW73</f>
        <v>0</v>
      </c>
      <c r="HE73" t="s">
        <v>3</v>
      </c>
      <c r="HF73" t="s">
        <v>3</v>
      </c>
      <c r="IK73">
        <v>0</v>
      </c>
    </row>
    <row r="75" spans="1:245" x14ac:dyDescent="0.2">
      <c r="A75" s="2">
        <v>51</v>
      </c>
      <c r="B75" s="2">
        <f>B67</f>
        <v>1</v>
      </c>
      <c r="C75" s="2">
        <f>A67</f>
        <v>4</v>
      </c>
      <c r="D75" s="2">
        <f>ROW(A67)</f>
        <v>67</v>
      </c>
      <c r="E75" s="2"/>
      <c r="F75" s="2" t="str">
        <f>IF(F67&lt;&gt;"",F67,"")</f>
        <v>Новый раздел</v>
      </c>
      <c r="G75" s="2" t="str">
        <f>IF(G67&lt;&gt;"",G67,"")</f>
        <v>Электромонтажные работы</v>
      </c>
      <c r="H75" s="2">
        <v>0</v>
      </c>
      <c r="I75" s="2"/>
      <c r="J75" s="2"/>
      <c r="K75" s="2"/>
      <c r="L75" s="2"/>
      <c r="M75" s="2"/>
      <c r="N75" s="2"/>
      <c r="O75" s="2">
        <f t="shared" ref="O75:T75" si="70">ROUND(AB75,2)</f>
        <v>8883.9500000000007</v>
      </c>
      <c r="P75" s="2">
        <f t="shared" si="70"/>
        <v>220.69</v>
      </c>
      <c r="Q75" s="2">
        <f t="shared" si="70"/>
        <v>2565.4899999999998</v>
      </c>
      <c r="R75" s="2">
        <f t="shared" si="70"/>
        <v>1821.54</v>
      </c>
      <c r="S75" s="2">
        <f t="shared" si="70"/>
        <v>6097.77</v>
      </c>
      <c r="T75" s="2">
        <f t="shared" si="70"/>
        <v>0</v>
      </c>
      <c r="U75" s="2">
        <f>AH75</f>
        <v>18.973393999999999</v>
      </c>
      <c r="V75" s="2">
        <f>AI75</f>
        <v>0</v>
      </c>
      <c r="W75" s="2">
        <f>ROUND(AJ75,2)</f>
        <v>0</v>
      </c>
      <c r="X75" s="2">
        <f>ROUND(AK75,2)</f>
        <v>4695.28</v>
      </c>
      <c r="Y75" s="2">
        <f>ROUND(AL75,2)</f>
        <v>2500.09</v>
      </c>
      <c r="Z75" s="2"/>
      <c r="AA75" s="2"/>
      <c r="AB75" s="2">
        <f>ROUND(SUMIF(AA71:AA73,"=23689695",O71:O73),2)</f>
        <v>8883.9500000000007</v>
      </c>
      <c r="AC75" s="2">
        <f>ROUND(SUMIF(AA71:AA73,"=23689695",P71:P73),2)</f>
        <v>220.69</v>
      </c>
      <c r="AD75" s="2">
        <f>ROUND(SUMIF(AA71:AA73,"=23689695",Q71:Q73),2)</f>
        <v>2565.4899999999998</v>
      </c>
      <c r="AE75" s="2">
        <f>ROUND(SUMIF(AA71:AA73,"=23689695",R71:R73),2)</f>
        <v>1821.54</v>
      </c>
      <c r="AF75" s="2">
        <f>ROUND(SUMIF(AA71:AA73,"=23689695",S71:S73),2)</f>
        <v>6097.77</v>
      </c>
      <c r="AG75" s="2">
        <f>ROUND(SUMIF(AA71:AA73,"=23689695",T71:T73),2)</f>
        <v>0</v>
      </c>
      <c r="AH75" s="2">
        <f>SUMIF(AA71:AA73,"=23689695",U71:U73)</f>
        <v>18.973393999999999</v>
      </c>
      <c r="AI75" s="2">
        <f>SUMIF(AA71:AA73,"=23689695",V71:V73)</f>
        <v>0</v>
      </c>
      <c r="AJ75" s="2">
        <f>ROUND(SUMIF(AA71:AA73,"=23689695",W71:W73),2)</f>
        <v>0</v>
      </c>
      <c r="AK75" s="2">
        <f>ROUND(SUMIF(AA71:AA73,"=23689695",X71:X73),2)</f>
        <v>4695.28</v>
      </c>
      <c r="AL75" s="2">
        <f>ROUND(SUMIF(AA71:AA73,"=23689695",Y71:Y73),2)</f>
        <v>2500.09</v>
      </c>
      <c r="AM75" s="2"/>
      <c r="AN75" s="2"/>
      <c r="AO75" s="2">
        <f t="shared" ref="AO75:BD75" si="71">ROUND(BX75,2)</f>
        <v>0</v>
      </c>
      <c r="AP75" s="2">
        <f t="shared" si="71"/>
        <v>0</v>
      </c>
      <c r="AQ75" s="2">
        <f t="shared" si="71"/>
        <v>0</v>
      </c>
      <c r="AR75" s="2">
        <f t="shared" si="71"/>
        <v>18939.150000000001</v>
      </c>
      <c r="AS75" s="2">
        <f t="shared" si="71"/>
        <v>0</v>
      </c>
      <c r="AT75" s="2">
        <f t="shared" si="71"/>
        <v>18939.150000000001</v>
      </c>
      <c r="AU75" s="2">
        <f t="shared" si="71"/>
        <v>0</v>
      </c>
      <c r="AV75" s="2">
        <f t="shared" si="71"/>
        <v>220.69</v>
      </c>
      <c r="AW75" s="2">
        <f t="shared" si="71"/>
        <v>220.69</v>
      </c>
      <c r="AX75" s="2">
        <f t="shared" si="71"/>
        <v>0</v>
      </c>
      <c r="AY75" s="2">
        <f t="shared" si="71"/>
        <v>220.69</v>
      </c>
      <c r="AZ75" s="2">
        <f t="shared" si="71"/>
        <v>0</v>
      </c>
      <c r="BA75" s="2">
        <f t="shared" si="71"/>
        <v>0</v>
      </c>
      <c r="BB75" s="2">
        <f t="shared" si="71"/>
        <v>0</v>
      </c>
      <c r="BC75" s="2">
        <f t="shared" si="71"/>
        <v>0</v>
      </c>
      <c r="BD75" s="2">
        <f t="shared" si="71"/>
        <v>0</v>
      </c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>
        <f>ROUND(SUMIF(AA71:AA73,"=23689695",FQ71:FQ73),2)</f>
        <v>0</v>
      </c>
      <c r="BY75" s="2">
        <f>ROUND(SUMIF(AA71:AA73,"=23689695",FR71:FR73),2)</f>
        <v>0</v>
      </c>
      <c r="BZ75" s="2">
        <f>ROUND(SUMIF(AA71:AA73,"=23689695",GL71:GL73),2)</f>
        <v>0</v>
      </c>
      <c r="CA75" s="2">
        <f>ROUND(SUMIF(AA71:AA73,"=23689695",GM71:GM73),2)</f>
        <v>18939.150000000001</v>
      </c>
      <c r="CB75" s="2">
        <f>ROUND(SUMIF(AA71:AA73,"=23689695",GN71:GN73),2)</f>
        <v>0</v>
      </c>
      <c r="CC75" s="2">
        <f>ROUND(SUMIF(AA71:AA73,"=23689695",GO71:GO73),2)</f>
        <v>18939.150000000001</v>
      </c>
      <c r="CD75" s="2">
        <f>ROUND(SUMIF(AA71:AA73,"=23689695",GP71:GP73),2)</f>
        <v>0</v>
      </c>
      <c r="CE75" s="2">
        <f>AC75-BX75</f>
        <v>220.69</v>
      </c>
      <c r="CF75" s="2">
        <f>AC75-BY75</f>
        <v>220.69</v>
      </c>
      <c r="CG75" s="2">
        <f>BX75-BZ75</f>
        <v>0</v>
      </c>
      <c r="CH75" s="2">
        <f>AC75-BX75-BY75+BZ75</f>
        <v>220.69</v>
      </c>
      <c r="CI75" s="2">
        <f>BY75-BZ75</f>
        <v>0</v>
      </c>
      <c r="CJ75" s="2">
        <f>ROUND(SUMIF(AA71:AA73,"=23689695",GX71:GX73),2)</f>
        <v>0</v>
      </c>
      <c r="CK75" s="2">
        <f>ROUND(SUMIF(AA71:AA73,"=23689695",GY71:GY73),2)</f>
        <v>0</v>
      </c>
      <c r="CL75" s="2">
        <f>ROUND(SUMIF(AA71:AA73,"=23689695",GZ71:GZ73),2)</f>
        <v>0</v>
      </c>
      <c r="CM75" s="2">
        <f>ROUND(SUMIF(AA71:AA73,"=23689695",HD71:HD73),2)</f>
        <v>0</v>
      </c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>
        <v>0</v>
      </c>
    </row>
    <row r="77" spans="1:245" x14ac:dyDescent="0.2">
      <c r="A77" s="4">
        <v>50</v>
      </c>
      <c r="B77" s="4">
        <v>0</v>
      </c>
      <c r="C77" s="4">
        <v>0</v>
      </c>
      <c r="D77" s="4">
        <v>1</v>
      </c>
      <c r="E77" s="4">
        <v>201</v>
      </c>
      <c r="F77" s="4">
        <f>ROUND(Source!O75,O77)</f>
        <v>8883.9500000000007</v>
      </c>
      <c r="G77" s="4" t="s">
        <v>73</v>
      </c>
      <c r="H77" s="4" t="s">
        <v>74</v>
      </c>
      <c r="I77" s="4"/>
      <c r="J77" s="4"/>
      <c r="K77" s="4">
        <v>201</v>
      </c>
      <c r="L77" s="4">
        <v>1</v>
      </c>
      <c r="M77" s="4">
        <v>3</v>
      </c>
      <c r="N77" s="4" t="s">
        <v>3</v>
      </c>
      <c r="O77" s="4">
        <v>2</v>
      </c>
      <c r="P77" s="4"/>
      <c r="Q77" s="4"/>
      <c r="R77" s="4"/>
      <c r="S77" s="4"/>
      <c r="T77" s="4"/>
      <c r="U77" s="4"/>
      <c r="V77" s="4"/>
      <c r="W77" s="4"/>
    </row>
    <row r="78" spans="1:245" x14ac:dyDescent="0.2">
      <c r="A78" s="4">
        <v>50</v>
      </c>
      <c r="B78" s="4">
        <v>0</v>
      </c>
      <c r="C78" s="4">
        <v>0</v>
      </c>
      <c r="D78" s="4">
        <v>1</v>
      </c>
      <c r="E78" s="4">
        <v>202</v>
      </c>
      <c r="F78" s="4">
        <f>ROUND(Source!P75,O78)</f>
        <v>220.69</v>
      </c>
      <c r="G78" s="4" t="s">
        <v>75</v>
      </c>
      <c r="H78" s="4" t="s">
        <v>76</v>
      </c>
      <c r="I78" s="4"/>
      <c r="J78" s="4"/>
      <c r="K78" s="4">
        <v>202</v>
      </c>
      <c r="L78" s="4">
        <v>2</v>
      </c>
      <c r="M78" s="4">
        <v>3</v>
      </c>
      <c r="N78" s="4" t="s">
        <v>3</v>
      </c>
      <c r="O78" s="4">
        <v>2</v>
      </c>
      <c r="P78" s="4"/>
      <c r="Q78" s="4"/>
      <c r="R78" s="4"/>
      <c r="S78" s="4"/>
      <c r="T78" s="4"/>
      <c r="U78" s="4"/>
      <c r="V78" s="4"/>
      <c r="W78" s="4"/>
    </row>
    <row r="79" spans="1:245" x14ac:dyDescent="0.2">
      <c r="A79" s="4">
        <v>50</v>
      </c>
      <c r="B79" s="4">
        <v>0</v>
      </c>
      <c r="C79" s="4">
        <v>0</v>
      </c>
      <c r="D79" s="4">
        <v>1</v>
      </c>
      <c r="E79" s="4">
        <v>222</v>
      </c>
      <c r="F79" s="4">
        <f>ROUND(Source!AO75,O79)</f>
        <v>0</v>
      </c>
      <c r="G79" s="4" t="s">
        <v>77</v>
      </c>
      <c r="H79" s="4" t="s">
        <v>78</v>
      </c>
      <c r="I79" s="4"/>
      <c r="J79" s="4"/>
      <c r="K79" s="4">
        <v>222</v>
      </c>
      <c r="L79" s="4">
        <v>3</v>
      </c>
      <c r="M79" s="4">
        <v>3</v>
      </c>
      <c r="N79" s="4" t="s">
        <v>3</v>
      </c>
      <c r="O79" s="4">
        <v>2</v>
      </c>
      <c r="P79" s="4"/>
      <c r="Q79" s="4"/>
      <c r="R79" s="4"/>
      <c r="S79" s="4"/>
      <c r="T79" s="4"/>
      <c r="U79" s="4"/>
      <c r="V79" s="4"/>
      <c r="W79" s="4"/>
    </row>
    <row r="80" spans="1:245" x14ac:dyDescent="0.2">
      <c r="A80" s="4">
        <v>50</v>
      </c>
      <c r="B80" s="4">
        <v>0</v>
      </c>
      <c r="C80" s="4">
        <v>0</v>
      </c>
      <c r="D80" s="4">
        <v>1</v>
      </c>
      <c r="E80" s="4">
        <v>225</v>
      </c>
      <c r="F80" s="4">
        <f>ROUND(Source!AV75,O80)</f>
        <v>220.69</v>
      </c>
      <c r="G80" s="4" t="s">
        <v>79</v>
      </c>
      <c r="H80" s="4" t="s">
        <v>80</v>
      </c>
      <c r="I80" s="4"/>
      <c r="J80" s="4"/>
      <c r="K80" s="4">
        <v>225</v>
      </c>
      <c r="L80" s="4">
        <v>4</v>
      </c>
      <c r="M80" s="4">
        <v>3</v>
      </c>
      <c r="N80" s="4" t="s">
        <v>3</v>
      </c>
      <c r="O80" s="4">
        <v>2</v>
      </c>
      <c r="P80" s="4"/>
      <c r="Q80" s="4"/>
      <c r="R80" s="4"/>
      <c r="S80" s="4"/>
      <c r="T80" s="4"/>
      <c r="U80" s="4"/>
      <c r="V80" s="4"/>
      <c r="W80" s="4"/>
    </row>
    <row r="81" spans="1:23" x14ac:dyDescent="0.2">
      <c r="A81" s="4">
        <v>50</v>
      </c>
      <c r="B81" s="4">
        <v>0</v>
      </c>
      <c r="C81" s="4">
        <v>0</v>
      </c>
      <c r="D81" s="4">
        <v>1</v>
      </c>
      <c r="E81" s="4">
        <v>226</v>
      </c>
      <c r="F81" s="4">
        <f>ROUND(Source!AW75,O81)</f>
        <v>220.69</v>
      </c>
      <c r="G81" s="4" t="s">
        <v>81</v>
      </c>
      <c r="H81" s="4" t="s">
        <v>82</v>
      </c>
      <c r="I81" s="4"/>
      <c r="J81" s="4"/>
      <c r="K81" s="4">
        <v>226</v>
      </c>
      <c r="L81" s="4">
        <v>5</v>
      </c>
      <c r="M81" s="4">
        <v>3</v>
      </c>
      <c r="N81" s="4" t="s">
        <v>3</v>
      </c>
      <c r="O81" s="4">
        <v>2</v>
      </c>
      <c r="P81" s="4"/>
      <c r="Q81" s="4"/>
      <c r="R81" s="4"/>
      <c r="S81" s="4"/>
      <c r="T81" s="4"/>
      <c r="U81" s="4"/>
      <c r="V81" s="4"/>
      <c r="W81" s="4"/>
    </row>
    <row r="82" spans="1:23" x14ac:dyDescent="0.2">
      <c r="A82" s="4">
        <v>50</v>
      </c>
      <c r="B82" s="4">
        <v>0</v>
      </c>
      <c r="C82" s="4">
        <v>0</v>
      </c>
      <c r="D82" s="4">
        <v>1</v>
      </c>
      <c r="E82" s="4">
        <v>227</v>
      </c>
      <c r="F82" s="4">
        <f>ROUND(Source!AX75,O82)</f>
        <v>0</v>
      </c>
      <c r="G82" s="4" t="s">
        <v>83</v>
      </c>
      <c r="H82" s="4" t="s">
        <v>84</v>
      </c>
      <c r="I82" s="4"/>
      <c r="J82" s="4"/>
      <c r="K82" s="4">
        <v>227</v>
      </c>
      <c r="L82" s="4">
        <v>6</v>
      </c>
      <c r="M82" s="4">
        <v>3</v>
      </c>
      <c r="N82" s="4" t="s">
        <v>3</v>
      </c>
      <c r="O82" s="4">
        <v>2</v>
      </c>
      <c r="P82" s="4"/>
      <c r="Q82" s="4"/>
      <c r="R82" s="4"/>
      <c r="S82" s="4"/>
      <c r="T82" s="4"/>
      <c r="U82" s="4"/>
      <c r="V82" s="4"/>
      <c r="W82" s="4"/>
    </row>
    <row r="83" spans="1:23" x14ac:dyDescent="0.2">
      <c r="A83" s="4">
        <v>50</v>
      </c>
      <c r="B83" s="4">
        <v>0</v>
      </c>
      <c r="C83" s="4">
        <v>0</v>
      </c>
      <c r="D83" s="4">
        <v>1</v>
      </c>
      <c r="E83" s="4">
        <v>228</v>
      </c>
      <c r="F83" s="4">
        <f>ROUND(Source!AY75,O83)</f>
        <v>220.69</v>
      </c>
      <c r="G83" s="4" t="s">
        <v>85</v>
      </c>
      <c r="H83" s="4" t="s">
        <v>86</v>
      </c>
      <c r="I83" s="4"/>
      <c r="J83" s="4"/>
      <c r="K83" s="4">
        <v>228</v>
      </c>
      <c r="L83" s="4">
        <v>7</v>
      </c>
      <c r="M83" s="4">
        <v>3</v>
      </c>
      <c r="N83" s="4" t="s">
        <v>3</v>
      </c>
      <c r="O83" s="4">
        <v>2</v>
      </c>
      <c r="P83" s="4"/>
      <c r="Q83" s="4"/>
      <c r="R83" s="4"/>
      <c r="S83" s="4"/>
      <c r="T83" s="4"/>
      <c r="U83" s="4"/>
      <c r="V83" s="4"/>
      <c r="W83" s="4"/>
    </row>
    <row r="84" spans="1:23" x14ac:dyDescent="0.2">
      <c r="A84" s="4">
        <v>50</v>
      </c>
      <c r="B84" s="4">
        <v>0</v>
      </c>
      <c r="C84" s="4">
        <v>0</v>
      </c>
      <c r="D84" s="4">
        <v>1</v>
      </c>
      <c r="E84" s="4">
        <v>216</v>
      </c>
      <c r="F84" s="4">
        <f>ROUND(Source!AP75,O84)</f>
        <v>0</v>
      </c>
      <c r="G84" s="4" t="s">
        <v>87</v>
      </c>
      <c r="H84" s="4" t="s">
        <v>88</v>
      </c>
      <c r="I84" s="4"/>
      <c r="J84" s="4"/>
      <c r="K84" s="4">
        <v>216</v>
      </c>
      <c r="L84" s="4">
        <v>8</v>
      </c>
      <c r="M84" s="4">
        <v>3</v>
      </c>
      <c r="N84" s="4" t="s">
        <v>3</v>
      </c>
      <c r="O84" s="4">
        <v>2</v>
      </c>
      <c r="P84" s="4"/>
      <c r="Q84" s="4"/>
      <c r="R84" s="4"/>
      <c r="S84" s="4"/>
      <c r="T84" s="4"/>
      <c r="U84" s="4"/>
      <c r="V84" s="4"/>
      <c r="W84" s="4"/>
    </row>
    <row r="85" spans="1:23" x14ac:dyDescent="0.2">
      <c r="A85" s="4">
        <v>50</v>
      </c>
      <c r="B85" s="4">
        <v>0</v>
      </c>
      <c r="C85" s="4">
        <v>0</v>
      </c>
      <c r="D85" s="4">
        <v>1</v>
      </c>
      <c r="E85" s="4">
        <v>223</v>
      </c>
      <c r="F85" s="4">
        <f>ROUND(Source!AQ75,O85)</f>
        <v>0</v>
      </c>
      <c r="G85" s="4" t="s">
        <v>89</v>
      </c>
      <c r="H85" s="4" t="s">
        <v>90</v>
      </c>
      <c r="I85" s="4"/>
      <c r="J85" s="4"/>
      <c r="K85" s="4">
        <v>223</v>
      </c>
      <c r="L85" s="4">
        <v>9</v>
      </c>
      <c r="M85" s="4">
        <v>3</v>
      </c>
      <c r="N85" s="4" t="s">
        <v>3</v>
      </c>
      <c r="O85" s="4">
        <v>2</v>
      </c>
      <c r="P85" s="4"/>
      <c r="Q85" s="4"/>
      <c r="R85" s="4"/>
      <c r="S85" s="4"/>
      <c r="T85" s="4"/>
      <c r="U85" s="4"/>
      <c r="V85" s="4"/>
      <c r="W85" s="4"/>
    </row>
    <row r="86" spans="1:23" x14ac:dyDescent="0.2">
      <c r="A86" s="4">
        <v>50</v>
      </c>
      <c r="B86" s="4">
        <v>0</v>
      </c>
      <c r="C86" s="4">
        <v>0</v>
      </c>
      <c r="D86" s="4">
        <v>1</v>
      </c>
      <c r="E86" s="4">
        <v>229</v>
      </c>
      <c r="F86" s="4">
        <f>ROUND(Source!AZ75,O86)</f>
        <v>0</v>
      </c>
      <c r="G86" s="4" t="s">
        <v>91</v>
      </c>
      <c r="H86" s="4" t="s">
        <v>92</v>
      </c>
      <c r="I86" s="4"/>
      <c r="J86" s="4"/>
      <c r="K86" s="4">
        <v>229</v>
      </c>
      <c r="L86" s="4">
        <v>10</v>
      </c>
      <c r="M86" s="4">
        <v>3</v>
      </c>
      <c r="N86" s="4" t="s">
        <v>3</v>
      </c>
      <c r="O86" s="4">
        <v>2</v>
      </c>
      <c r="P86" s="4"/>
      <c r="Q86" s="4"/>
      <c r="R86" s="4"/>
      <c r="S86" s="4"/>
      <c r="T86" s="4"/>
      <c r="U86" s="4"/>
      <c r="V86" s="4"/>
      <c r="W86" s="4"/>
    </row>
    <row r="87" spans="1:23" x14ac:dyDescent="0.2">
      <c r="A87" s="4">
        <v>50</v>
      </c>
      <c r="B87" s="4">
        <v>0</v>
      </c>
      <c r="C87" s="4">
        <v>0</v>
      </c>
      <c r="D87" s="4">
        <v>1</v>
      </c>
      <c r="E87" s="4">
        <v>203</v>
      </c>
      <c r="F87" s="4">
        <f>ROUND(Source!Q75,O87)</f>
        <v>2565.4899999999998</v>
      </c>
      <c r="G87" s="4" t="s">
        <v>93</v>
      </c>
      <c r="H87" s="4" t="s">
        <v>94</v>
      </c>
      <c r="I87" s="4"/>
      <c r="J87" s="4"/>
      <c r="K87" s="4">
        <v>203</v>
      </c>
      <c r="L87" s="4">
        <v>11</v>
      </c>
      <c r="M87" s="4">
        <v>3</v>
      </c>
      <c r="N87" s="4" t="s">
        <v>3</v>
      </c>
      <c r="O87" s="4">
        <v>2</v>
      </c>
      <c r="P87" s="4"/>
      <c r="Q87" s="4"/>
      <c r="R87" s="4"/>
      <c r="S87" s="4"/>
      <c r="T87" s="4"/>
      <c r="U87" s="4"/>
      <c r="V87" s="4"/>
      <c r="W87" s="4"/>
    </row>
    <row r="88" spans="1:23" x14ac:dyDescent="0.2">
      <c r="A88" s="4">
        <v>50</v>
      </c>
      <c r="B88" s="4">
        <v>0</v>
      </c>
      <c r="C88" s="4">
        <v>0</v>
      </c>
      <c r="D88" s="4">
        <v>1</v>
      </c>
      <c r="E88" s="4">
        <v>231</v>
      </c>
      <c r="F88" s="4">
        <f>ROUND(Source!BB75,O88)</f>
        <v>0</v>
      </c>
      <c r="G88" s="4" t="s">
        <v>95</v>
      </c>
      <c r="H88" s="4" t="s">
        <v>96</v>
      </c>
      <c r="I88" s="4"/>
      <c r="J88" s="4"/>
      <c r="K88" s="4">
        <v>231</v>
      </c>
      <c r="L88" s="4">
        <v>12</v>
      </c>
      <c r="M88" s="4">
        <v>3</v>
      </c>
      <c r="N88" s="4" t="s">
        <v>3</v>
      </c>
      <c r="O88" s="4">
        <v>2</v>
      </c>
      <c r="P88" s="4"/>
      <c r="Q88" s="4"/>
      <c r="R88" s="4"/>
      <c r="S88" s="4"/>
      <c r="T88" s="4"/>
      <c r="U88" s="4"/>
      <c r="V88" s="4"/>
      <c r="W88" s="4"/>
    </row>
    <row r="89" spans="1:23" x14ac:dyDescent="0.2">
      <c r="A89" s="4">
        <v>50</v>
      </c>
      <c r="B89" s="4">
        <v>0</v>
      </c>
      <c r="C89" s="4">
        <v>0</v>
      </c>
      <c r="D89" s="4">
        <v>1</v>
      </c>
      <c r="E89" s="4">
        <v>204</v>
      </c>
      <c r="F89" s="4">
        <f>ROUND(Source!R75,O89)</f>
        <v>1821.54</v>
      </c>
      <c r="G89" s="4" t="s">
        <v>97</v>
      </c>
      <c r="H89" s="4" t="s">
        <v>98</v>
      </c>
      <c r="I89" s="4"/>
      <c r="J89" s="4"/>
      <c r="K89" s="4">
        <v>204</v>
      </c>
      <c r="L89" s="4">
        <v>13</v>
      </c>
      <c r="M89" s="4">
        <v>3</v>
      </c>
      <c r="N89" s="4" t="s">
        <v>3</v>
      </c>
      <c r="O89" s="4">
        <v>2</v>
      </c>
      <c r="P89" s="4"/>
      <c r="Q89" s="4"/>
      <c r="R89" s="4"/>
      <c r="S89" s="4"/>
      <c r="T89" s="4"/>
      <c r="U89" s="4"/>
      <c r="V89" s="4"/>
      <c r="W89" s="4"/>
    </row>
    <row r="90" spans="1:23" x14ac:dyDescent="0.2">
      <c r="A90" s="4">
        <v>50</v>
      </c>
      <c r="B90" s="4">
        <v>0</v>
      </c>
      <c r="C90" s="4">
        <v>0</v>
      </c>
      <c r="D90" s="4">
        <v>1</v>
      </c>
      <c r="E90" s="4">
        <v>205</v>
      </c>
      <c r="F90" s="4">
        <f>ROUND(Source!S75,O90)</f>
        <v>6097.77</v>
      </c>
      <c r="G90" s="4" t="s">
        <v>99</v>
      </c>
      <c r="H90" s="4" t="s">
        <v>100</v>
      </c>
      <c r="I90" s="4"/>
      <c r="J90" s="4"/>
      <c r="K90" s="4">
        <v>205</v>
      </c>
      <c r="L90" s="4">
        <v>14</v>
      </c>
      <c r="M90" s="4">
        <v>3</v>
      </c>
      <c r="N90" s="4" t="s">
        <v>3</v>
      </c>
      <c r="O90" s="4">
        <v>2</v>
      </c>
      <c r="P90" s="4"/>
      <c r="Q90" s="4"/>
      <c r="R90" s="4"/>
      <c r="S90" s="4"/>
      <c r="T90" s="4"/>
      <c r="U90" s="4"/>
      <c r="V90" s="4"/>
      <c r="W90" s="4"/>
    </row>
    <row r="91" spans="1:23" x14ac:dyDescent="0.2">
      <c r="A91" s="4">
        <v>50</v>
      </c>
      <c r="B91" s="4">
        <v>0</v>
      </c>
      <c r="C91" s="4">
        <v>0</v>
      </c>
      <c r="D91" s="4">
        <v>1</v>
      </c>
      <c r="E91" s="4">
        <v>232</v>
      </c>
      <c r="F91" s="4">
        <f>ROUND(Source!BC75,O91)</f>
        <v>0</v>
      </c>
      <c r="G91" s="4" t="s">
        <v>101</v>
      </c>
      <c r="H91" s="4" t="s">
        <v>102</v>
      </c>
      <c r="I91" s="4"/>
      <c r="J91" s="4"/>
      <c r="K91" s="4">
        <v>232</v>
      </c>
      <c r="L91" s="4">
        <v>15</v>
      </c>
      <c r="M91" s="4">
        <v>3</v>
      </c>
      <c r="N91" s="4" t="s">
        <v>3</v>
      </c>
      <c r="O91" s="4">
        <v>2</v>
      </c>
      <c r="P91" s="4"/>
      <c r="Q91" s="4"/>
      <c r="R91" s="4"/>
      <c r="S91" s="4"/>
      <c r="T91" s="4"/>
      <c r="U91" s="4"/>
      <c r="V91" s="4"/>
      <c r="W91" s="4"/>
    </row>
    <row r="92" spans="1:23" x14ac:dyDescent="0.2">
      <c r="A92" s="4">
        <v>50</v>
      </c>
      <c r="B92" s="4">
        <v>0</v>
      </c>
      <c r="C92" s="4">
        <v>0</v>
      </c>
      <c r="D92" s="4">
        <v>1</v>
      </c>
      <c r="E92" s="4">
        <v>214</v>
      </c>
      <c r="F92" s="4">
        <f>ROUND(Source!AS75,O92)</f>
        <v>0</v>
      </c>
      <c r="G92" s="4" t="s">
        <v>103</v>
      </c>
      <c r="H92" s="4" t="s">
        <v>104</v>
      </c>
      <c r="I92" s="4"/>
      <c r="J92" s="4"/>
      <c r="K92" s="4">
        <v>214</v>
      </c>
      <c r="L92" s="4">
        <v>16</v>
      </c>
      <c r="M92" s="4">
        <v>3</v>
      </c>
      <c r="N92" s="4" t="s">
        <v>3</v>
      </c>
      <c r="O92" s="4">
        <v>2</v>
      </c>
      <c r="P92" s="4"/>
      <c r="Q92" s="4"/>
      <c r="R92" s="4"/>
      <c r="S92" s="4"/>
      <c r="T92" s="4"/>
      <c r="U92" s="4"/>
      <c r="V92" s="4"/>
      <c r="W92" s="4"/>
    </row>
    <row r="93" spans="1:23" x14ac:dyDescent="0.2">
      <c r="A93" s="4">
        <v>50</v>
      </c>
      <c r="B93" s="4">
        <v>0</v>
      </c>
      <c r="C93" s="4">
        <v>0</v>
      </c>
      <c r="D93" s="4">
        <v>1</v>
      </c>
      <c r="E93" s="4">
        <v>215</v>
      </c>
      <c r="F93" s="4">
        <f>ROUND(Source!AT75,O93)</f>
        <v>18939.150000000001</v>
      </c>
      <c r="G93" s="4" t="s">
        <v>105</v>
      </c>
      <c r="H93" s="4" t="s">
        <v>106</v>
      </c>
      <c r="I93" s="4"/>
      <c r="J93" s="4"/>
      <c r="K93" s="4">
        <v>215</v>
      </c>
      <c r="L93" s="4">
        <v>17</v>
      </c>
      <c r="M93" s="4">
        <v>3</v>
      </c>
      <c r="N93" s="4" t="s">
        <v>3</v>
      </c>
      <c r="O93" s="4">
        <v>2</v>
      </c>
      <c r="P93" s="4"/>
      <c r="Q93" s="4"/>
      <c r="R93" s="4"/>
      <c r="S93" s="4"/>
      <c r="T93" s="4"/>
      <c r="U93" s="4"/>
      <c r="V93" s="4"/>
      <c r="W93" s="4"/>
    </row>
    <row r="94" spans="1:23" x14ac:dyDescent="0.2">
      <c r="A94" s="4">
        <v>50</v>
      </c>
      <c r="B94" s="4">
        <v>0</v>
      </c>
      <c r="C94" s="4">
        <v>0</v>
      </c>
      <c r="D94" s="4">
        <v>1</v>
      </c>
      <c r="E94" s="4">
        <v>217</v>
      </c>
      <c r="F94" s="4">
        <f>ROUND(Source!AU75,O94)</f>
        <v>0</v>
      </c>
      <c r="G94" s="4" t="s">
        <v>107</v>
      </c>
      <c r="H94" s="4" t="s">
        <v>108</v>
      </c>
      <c r="I94" s="4"/>
      <c r="J94" s="4"/>
      <c r="K94" s="4">
        <v>217</v>
      </c>
      <c r="L94" s="4">
        <v>18</v>
      </c>
      <c r="M94" s="4">
        <v>3</v>
      </c>
      <c r="N94" s="4" t="s">
        <v>3</v>
      </c>
      <c r="O94" s="4">
        <v>2</v>
      </c>
      <c r="P94" s="4"/>
      <c r="Q94" s="4"/>
      <c r="R94" s="4"/>
      <c r="S94" s="4"/>
      <c r="T94" s="4"/>
      <c r="U94" s="4"/>
      <c r="V94" s="4"/>
      <c r="W94" s="4"/>
    </row>
    <row r="95" spans="1:23" x14ac:dyDescent="0.2">
      <c r="A95" s="4">
        <v>50</v>
      </c>
      <c r="B95" s="4">
        <v>0</v>
      </c>
      <c r="C95" s="4">
        <v>0</v>
      </c>
      <c r="D95" s="4">
        <v>1</v>
      </c>
      <c r="E95" s="4">
        <v>230</v>
      </c>
      <c r="F95" s="4">
        <f>ROUND(Source!BA75,O95)</f>
        <v>0</v>
      </c>
      <c r="G95" s="4" t="s">
        <v>109</v>
      </c>
      <c r="H95" s="4" t="s">
        <v>110</v>
      </c>
      <c r="I95" s="4"/>
      <c r="J95" s="4"/>
      <c r="K95" s="4">
        <v>230</v>
      </c>
      <c r="L95" s="4">
        <v>19</v>
      </c>
      <c r="M95" s="4">
        <v>3</v>
      </c>
      <c r="N95" s="4" t="s">
        <v>3</v>
      </c>
      <c r="O95" s="4">
        <v>2</v>
      </c>
      <c r="P95" s="4"/>
      <c r="Q95" s="4"/>
      <c r="R95" s="4"/>
      <c r="S95" s="4"/>
      <c r="T95" s="4"/>
      <c r="U95" s="4"/>
      <c r="V95" s="4"/>
      <c r="W95" s="4"/>
    </row>
    <row r="96" spans="1:23" x14ac:dyDescent="0.2">
      <c r="A96" s="4">
        <v>50</v>
      </c>
      <c r="B96" s="4">
        <v>0</v>
      </c>
      <c r="C96" s="4">
        <v>0</v>
      </c>
      <c r="D96" s="4">
        <v>1</v>
      </c>
      <c r="E96" s="4">
        <v>206</v>
      </c>
      <c r="F96" s="4">
        <f>ROUND(Source!T75,O96)</f>
        <v>0</v>
      </c>
      <c r="G96" s="4" t="s">
        <v>111</v>
      </c>
      <c r="H96" s="4" t="s">
        <v>112</v>
      </c>
      <c r="I96" s="4"/>
      <c r="J96" s="4"/>
      <c r="K96" s="4">
        <v>206</v>
      </c>
      <c r="L96" s="4">
        <v>20</v>
      </c>
      <c r="M96" s="4">
        <v>3</v>
      </c>
      <c r="N96" s="4" t="s">
        <v>3</v>
      </c>
      <c r="O96" s="4">
        <v>2</v>
      </c>
      <c r="P96" s="4"/>
      <c r="Q96" s="4"/>
      <c r="R96" s="4"/>
      <c r="S96" s="4"/>
      <c r="T96" s="4"/>
      <c r="U96" s="4"/>
      <c r="V96" s="4"/>
      <c r="W96" s="4"/>
    </row>
    <row r="97" spans="1:245" x14ac:dyDescent="0.2">
      <c r="A97" s="4">
        <v>50</v>
      </c>
      <c r="B97" s="4">
        <v>0</v>
      </c>
      <c r="C97" s="4">
        <v>0</v>
      </c>
      <c r="D97" s="4">
        <v>1</v>
      </c>
      <c r="E97" s="4">
        <v>207</v>
      </c>
      <c r="F97" s="4">
        <f>Source!U75</f>
        <v>18.973393999999999</v>
      </c>
      <c r="G97" s="4" t="s">
        <v>113</v>
      </c>
      <c r="H97" s="4" t="s">
        <v>114</v>
      </c>
      <c r="I97" s="4"/>
      <c r="J97" s="4"/>
      <c r="K97" s="4">
        <v>207</v>
      </c>
      <c r="L97" s="4">
        <v>21</v>
      </c>
      <c r="M97" s="4">
        <v>3</v>
      </c>
      <c r="N97" s="4" t="s">
        <v>3</v>
      </c>
      <c r="O97" s="4">
        <v>-1</v>
      </c>
      <c r="P97" s="4"/>
      <c r="Q97" s="4"/>
      <c r="R97" s="4"/>
      <c r="S97" s="4"/>
      <c r="T97" s="4"/>
      <c r="U97" s="4"/>
      <c r="V97" s="4"/>
      <c r="W97" s="4"/>
    </row>
    <row r="98" spans="1:245" x14ac:dyDescent="0.2">
      <c r="A98" s="4">
        <v>50</v>
      </c>
      <c r="B98" s="4">
        <v>0</v>
      </c>
      <c r="C98" s="4">
        <v>0</v>
      </c>
      <c r="D98" s="4">
        <v>1</v>
      </c>
      <c r="E98" s="4">
        <v>208</v>
      </c>
      <c r="F98" s="4">
        <f>Source!V75</f>
        <v>0</v>
      </c>
      <c r="G98" s="4" t="s">
        <v>115</v>
      </c>
      <c r="H98" s="4" t="s">
        <v>116</v>
      </c>
      <c r="I98" s="4"/>
      <c r="J98" s="4"/>
      <c r="K98" s="4">
        <v>208</v>
      </c>
      <c r="L98" s="4">
        <v>22</v>
      </c>
      <c r="M98" s="4">
        <v>3</v>
      </c>
      <c r="N98" s="4" t="s">
        <v>3</v>
      </c>
      <c r="O98" s="4">
        <v>-1</v>
      </c>
      <c r="P98" s="4"/>
      <c r="Q98" s="4"/>
      <c r="R98" s="4"/>
      <c r="S98" s="4"/>
      <c r="T98" s="4"/>
      <c r="U98" s="4"/>
      <c r="V98" s="4"/>
      <c r="W98" s="4"/>
    </row>
    <row r="99" spans="1:245" x14ac:dyDescent="0.2">
      <c r="A99" s="4">
        <v>50</v>
      </c>
      <c r="B99" s="4">
        <v>0</v>
      </c>
      <c r="C99" s="4">
        <v>0</v>
      </c>
      <c r="D99" s="4">
        <v>1</v>
      </c>
      <c r="E99" s="4">
        <v>209</v>
      </c>
      <c r="F99" s="4">
        <f>ROUND(Source!W75,O99)</f>
        <v>0</v>
      </c>
      <c r="G99" s="4" t="s">
        <v>117</v>
      </c>
      <c r="H99" s="4" t="s">
        <v>118</v>
      </c>
      <c r="I99" s="4"/>
      <c r="J99" s="4"/>
      <c r="K99" s="4">
        <v>209</v>
      </c>
      <c r="L99" s="4">
        <v>23</v>
      </c>
      <c r="M99" s="4">
        <v>3</v>
      </c>
      <c r="N99" s="4" t="s">
        <v>3</v>
      </c>
      <c r="O99" s="4">
        <v>2</v>
      </c>
      <c r="P99" s="4"/>
      <c r="Q99" s="4"/>
      <c r="R99" s="4"/>
      <c r="S99" s="4"/>
      <c r="T99" s="4"/>
      <c r="U99" s="4"/>
      <c r="V99" s="4"/>
      <c r="W99" s="4"/>
    </row>
    <row r="100" spans="1:245" x14ac:dyDescent="0.2">
      <c r="A100" s="4">
        <v>50</v>
      </c>
      <c r="B100" s="4">
        <v>0</v>
      </c>
      <c r="C100" s="4">
        <v>0</v>
      </c>
      <c r="D100" s="4">
        <v>1</v>
      </c>
      <c r="E100" s="4">
        <v>233</v>
      </c>
      <c r="F100" s="4">
        <f>ROUND(Source!BD75,O100)</f>
        <v>0</v>
      </c>
      <c r="G100" s="4" t="s">
        <v>119</v>
      </c>
      <c r="H100" s="4" t="s">
        <v>120</v>
      </c>
      <c r="I100" s="4"/>
      <c r="J100" s="4"/>
      <c r="K100" s="4">
        <v>233</v>
      </c>
      <c r="L100" s="4">
        <v>24</v>
      </c>
      <c r="M100" s="4">
        <v>3</v>
      </c>
      <c r="N100" s="4" t="s">
        <v>3</v>
      </c>
      <c r="O100" s="4">
        <v>2</v>
      </c>
      <c r="P100" s="4"/>
      <c r="Q100" s="4"/>
      <c r="R100" s="4"/>
      <c r="S100" s="4"/>
      <c r="T100" s="4"/>
      <c r="U100" s="4"/>
      <c r="V100" s="4"/>
      <c r="W100" s="4"/>
    </row>
    <row r="101" spans="1:245" x14ac:dyDescent="0.2">
      <c r="A101" s="4">
        <v>50</v>
      </c>
      <c r="B101" s="4">
        <v>0</v>
      </c>
      <c r="C101" s="4">
        <v>0</v>
      </c>
      <c r="D101" s="4">
        <v>1</v>
      </c>
      <c r="E101" s="4">
        <v>210</v>
      </c>
      <c r="F101" s="4">
        <f>ROUND(Source!X75,O101)</f>
        <v>4695.28</v>
      </c>
      <c r="G101" s="4" t="s">
        <v>121</v>
      </c>
      <c r="H101" s="4" t="s">
        <v>122</v>
      </c>
      <c r="I101" s="4"/>
      <c r="J101" s="4"/>
      <c r="K101" s="4">
        <v>210</v>
      </c>
      <c r="L101" s="4">
        <v>25</v>
      </c>
      <c r="M101" s="4">
        <v>3</v>
      </c>
      <c r="N101" s="4" t="s">
        <v>3</v>
      </c>
      <c r="O101" s="4">
        <v>2</v>
      </c>
      <c r="P101" s="4"/>
      <c r="Q101" s="4"/>
      <c r="R101" s="4"/>
      <c r="S101" s="4"/>
      <c r="T101" s="4"/>
      <c r="U101" s="4"/>
      <c r="V101" s="4"/>
      <c r="W101" s="4"/>
    </row>
    <row r="102" spans="1:245" x14ac:dyDescent="0.2">
      <c r="A102" s="4">
        <v>50</v>
      </c>
      <c r="B102" s="4">
        <v>0</v>
      </c>
      <c r="C102" s="4">
        <v>0</v>
      </c>
      <c r="D102" s="4">
        <v>1</v>
      </c>
      <c r="E102" s="4">
        <v>211</v>
      </c>
      <c r="F102" s="4">
        <f>ROUND(Source!Y75,O102)</f>
        <v>2500.09</v>
      </c>
      <c r="G102" s="4" t="s">
        <v>123</v>
      </c>
      <c r="H102" s="4" t="s">
        <v>124</v>
      </c>
      <c r="I102" s="4"/>
      <c r="J102" s="4"/>
      <c r="K102" s="4">
        <v>211</v>
      </c>
      <c r="L102" s="4">
        <v>26</v>
      </c>
      <c r="M102" s="4">
        <v>3</v>
      </c>
      <c r="N102" s="4" t="s">
        <v>3</v>
      </c>
      <c r="O102" s="4">
        <v>2</v>
      </c>
      <c r="P102" s="4"/>
      <c r="Q102" s="4"/>
      <c r="R102" s="4"/>
      <c r="S102" s="4"/>
      <c r="T102" s="4"/>
      <c r="U102" s="4"/>
      <c r="V102" s="4"/>
      <c r="W102" s="4"/>
    </row>
    <row r="103" spans="1:245" x14ac:dyDescent="0.2">
      <c r="A103" s="4">
        <v>50</v>
      </c>
      <c r="B103" s="4">
        <v>0</v>
      </c>
      <c r="C103" s="4">
        <v>0</v>
      </c>
      <c r="D103" s="4">
        <v>1</v>
      </c>
      <c r="E103" s="4">
        <v>224</v>
      </c>
      <c r="F103" s="4">
        <f>ROUND(Source!AR75,O103)</f>
        <v>18939.150000000001</v>
      </c>
      <c r="G103" s="4" t="s">
        <v>125</v>
      </c>
      <c r="H103" s="4" t="s">
        <v>126</v>
      </c>
      <c r="I103" s="4"/>
      <c r="J103" s="4"/>
      <c r="K103" s="4">
        <v>224</v>
      </c>
      <c r="L103" s="4">
        <v>27</v>
      </c>
      <c r="M103" s="4">
        <v>3</v>
      </c>
      <c r="N103" s="4" t="s">
        <v>3</v>
      </c>
      <c r="O103" s="4">
        <v>2</v>
      </c>
      <c r="P103" s="4"/>
      <c r="Q103" s="4"/>
      <c r="R103" s="4"/>
      <c r="S103" s="4"/>
      <c r="T103" s="4"/>
      <c r="U103" s="4"/>
      <c r="V103" s="4"/>
      <c r="W103" s="4"/>
    </row>
    <row r="105" spans="1:245" x14ac:dyDescent="0.2">
      <c r="A105" s="1">
        <v>4</v>
      </c>
      <c r="B105" s="1">
        <v>1</v>
      </c>
      <c r="C105" s="1"/>
      <c r="D105" s="1">
        <f>ROW(A115)</f>
        <v>115</v>
      </c>
      <c r="E105" s="1"/>
      <c r="F105" s="1" t="s">
        <v>21</v>
      </c>
      <c r="G105" s="1" t="s">
        <v>142</v>
      </c>
      <c r="H105" s="1" t="s">
        <v>3</v>
      </c>
      <c r="I105" s="1">
        <v>0</v>
      </c>
      <c r="J105" s="1"/>
      <c r="K105" s="1">
        <v>-1</v>
      </c>
      <c r="L105" s="1"/>
      <c r="M105" s="1" t="s">
        <v>3</v>
      </c>
      <c r="N105" s="1"/>
      <c r="O105" s="1"/>
      <c r="P105" s="1"/>
      <c r="Q105" s="1"/>
      <c r="R105" s="1"/>
      <c r="S105" s="1">
        <v>0</v>
      </c>
      <c r="T105" s="1"/>
      <c r="U105" s="1" t="s">
        <v>3</v>
      </c>
      <c r="V105" s="1">
        <v>0</v>
      </c>
      <c r="W105" s="1"/>
      <c r="X105" s="1"/>
      <c r="Y105" s="1"/>
      <c r="Z105" s="1"/>
      <c r="AA105" s="1"/>
      <c r="AB105" s="1" t="s">
        <v>3</v>
      </c>
      <c r="AC105" s="1" t="s">
        <v>3</v>
      </c>
      <c r="AD105" s="1" t="s">
        <v>3</v>
      </c>
      <c r="AE105" s="1" t="s">
        <v>3</v>
      </c>
      <c r="AF105" s="1" t="s">
        <v>3</v>
      </c>
      <c r="AG105" s="1" t="s">
        <v>3</v>
      </c>
      <c r="AH105" s="1"/>
      <c r="AI105" s="1"/>
      <c r="AJ105" s="1"/>
      <c r="AK105" s="1"/>
      <c r="AL105" s="1"/>
      <c r="AM105" s="1"/>
      <c r="AN105" s="1"/>
      <c r="AO105" s="1"/>
      <c r="AP105" s="1" t="s">
        <v>3</v>
      </c>
      <c r="AQ105" s="1" t="s">
        <v>3</v>
      </c>
      <c r="AR105" s="1" t="s">
        <v>3</v>
      </c>
      <c r="AS105" s="1"/>
      <c r="AT105" s="1"/>
      <c r="AU105" s="1"/>
      <c r="AV105" s="1"/>
      <c r="AW105" s="1"/>
      <c r="AX105" s="1"/>
      <c r="AY105" s="1"/>
      <c r="AZ105" s="1" t="s">
        <v>3</v>
      </c>
      <c r="BA105" s="1"/>
      <c r="BB105" s="1" t="s">
        <v>3</v>
      </c>
      <c r="BC105" s="1" t="s">
        <v>3</v>
      </c>
      <c r="BD105" s="1" t="s">
        <v>3</v>
      </c>
      <c r="BE105" s="1" t="s">
        <v>3</v>
      </c>
      <c r="BF105" s="1" t="s">
        <v>3</v>
      </c>
      <c r="BG105" s="1" t="s">
        <v>3</v>
      </c>
      <c r="BH105" s="1" t="s">
        <v>3</v>
      </c>
      <c r="BI105" s="1" t="s">
        <v>3</v>
      </c>
      <c r="BJ105" s="1" t="s">
        <v>3</v>
      </c>
      <c r="BK105" s="1" t="s">
        <v>3</v>
      </c>
      <c r="BL105" s="1" t="s">
        <v>3</v>
      </c>
      <c r="BM105" s="1" t="s">
        <v>3</v>
      </c>
      <c r="BN105" s="1" t="s">
        <v>3</v>
      </c>
      <c r="BO105" s="1" t="s">
        <v>3</v>
      </c>
      <c r="BP105" s="1" t="s">
        <v>3</v>
      </c>
      <c r="BQ105" s="1"/>
      <c r="BR105" s="1"/>
      <c r="BS105" s="1"/>
      <c r="BT105" s="1"/>
      <c r="BU105" s="1"/>
      <c r="BV105" s="1"/>
      <c r="BW105" s="1"/>
      <c r="BX105" s="1">
        <v>0</v>
      </c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>
        <v>0</v>
      </c>
    </row>
    <row r="107" spans="1:245" x14ac:dyDescent="0.2">
      <c r="A107" s="2">
        <v>52</v>
      </c>
      <c r="B107" s="2">
        <f t="shared" ref="B107:G107" si="72">B115</f>
        <v>1</v>
      </c>
      <c r="C107" s="2">
        <f t="shared" si="72"/>
        <v>4</v>
      </c>
      <c r="D107" s="2">
        <f t="shared" si="72"/>
        <v>105</v>
      </c>
      <c r="E107" s="2">
        <f t="shared" si="72"/>
        <v>0</v>
      </c>
      <c r="F107" s="2" t="str">
        <f t="shared" si="72"/>
        <v>Новый раздел</v>
      </c>
      <c r="G107" s="2" t="str">
        <f t="shared" si="72"/>
        <v>Пуско-наладочные работы</v>
      </c>
      <c r="H107" s="2"/>
      <c r="I107" s="2"/>
      <c r="J107" s="2"/>
      <c r="K107" s="2"/>
      <c r="L107" s="2"/>
      <c r="M107" s="2"/>
      <c r="N107" s="2"/>
      <c r="O107" s="2">
        <f t="shared" ref="O107:AT107" si="73">O115</f>
        <v>2843.38</v>
      </c>
      <c r="P107" s="2">
        <f t="shared" si="73"/>
        <v>0</v>
      </c>
      <c r="Q107" s="2">
        <f t="shared" si="73"/>
        <v>0</v>
      </c>
      <c r="R107" s="2">
        <f t="shared" si="73"/>
        <v>0</v>
      </c>
      <c r="S107" s="2">
        <f t="shared" si="73"/>
        <v>2843.38</v>
      </c>
      <c r="T107" s="2">
        <f t="shared" si="73"/>
        <v>0</v>
      </c>
      <c r="U107" s="2">
        <f t="shared" si="73"/>
        <v>7.2384000000000004</v>
      </c>
      <c r="V107" s="2">
        <f t="shared" si="73"/>
        <v>0</v>
      </c>
      <c r="W107" s="2">
        <f t="shared" si="73"/>
        <v>0</v>
      </c>
      <c r="X107" s="2">
        <f t="shared" si="73"/>
        <v>1933.5</v>
      </c>
      <c r="Y107" s="2">
        <f t="shared" si="73"/>
        <v>1165.79</v>
      </c>
      <c r="Z107" s="2">
        <f t="shared" si="73"/>
        <v>0</v>
      </c>
      <c r="AA107" s="2">
        <f t="shared" si="73"/>
        <v>0</v>
      </c>
      <c r="AB107" s="2">
        <f t="shared" si="73"/>
        <v>2843.38</v>
      </c>
      <c r="AC107" s="2">
        <f t="shared" si="73"/>
        <v>0</v>
      </c>
      <c r="AD107" s="2">
        <f t="shared" si="73"/>
        <v>0</v>
      </c>
      <c r="AE107" s="2">
        <f t="shared" si="73"/>
        <v>0</v>
      </c>
      <c r="AF107" s="2">
        <f t="shared" si="73"/>
        <v>2843.38</v>
      </c>
      <c r="AG107" s="2">
        <f t="shared" si="73"/>
        <v>0</v>
      </c>
      <c r="AH107" s="2">
        <f t="shared" si="73"/>
        <v>7.2384000000000004</v>
      </c>
      <c r="AI107" s="2">
        <f t="shared" si="73"/>
        <v>0</v>
      </c>
      <c r="AJ107" s="2">
        <f t="shared" si="73"/>
        <v>0</v>
      </c>
      <c r="AK107" s="2">
        <f t="shared" si="73"/>
        <v>1933.5</v>
      </c>
      <c r="AL107" s="2">
        <f t="shared" si="73"/>
        <v>1165.79</v>
      </c>
      <c r="AM107" s="2">
        <f t="shared" si="73"/>
        <v>0</v>
      </c>
      <c r="AN107" s="2">
        <f t="shared" si="73"/>
        <v>0</v>
      </c>
      <c r="AO107" s="2">
        <f t="shared" si="73"/>
        <v>0</v>
      </c>
      <c r="AP107" s="2">
        <f t="shared" si="73"/>
        <v>0</v>
      </c>
      <c r="AQ107" s="2">
        <f t="shared" si="73"/>
        <v>0</v>
      </c>
      <c r="AR107" s="2">
        <f t="shared" si="73"/>
        <v>5942.67</v>
      </c>
      <c r="AS107" s="2">
        <f t="shared" si="73"/>
        <v>0</v>
      </c>
      <c r="AT107" s="2">
        <f t="shared" si="73"/>
        <v>0</v>
      </c>
      <c r="AU107" s="2">
        <f t="shared" ref="AU107:BZ107" si="74">AU115</f>
        <v>5942.67</v>
      </c>
      <c r="AV107" s="2">
        <f t="shared" si="74"/>
        <v>0</v>
      </c>
      <c r="AW107" s="2">
        <f t="shared" si="74"/>
        <v>0</v>
      </c>
      <c r="AX107" s="2">
        <f t="shared" si="74"/>
        <v>0</v>
      </c>
      <c r="AY107" s="2">
        <f t="shared" si="74"/>
        <v>0</v>
      </c>
      <c r="AZ107" s="2">
        <f t="shared" si="74"/>
        <v>0</v>
      </c>
      <c r="BA107" s="2">
        <f t="shared" si="74"/>
        <v>0</v>
      </c>
      <c r="BB107" s="2">
        <f t="shared" si="74"/>
        <v>0</v>
      </c>
      <c r="BC107" s="2">
        <f t="shared" si="74"/>
        <v>0</v>
      </c>
      <c r="BD107" s="2">
        <f t="shared" si="74"/>
        <v>0</v>
      </c>
      <c r="BE107" s="2">
        <f t="shared" si="74"/>
        <v>0</v>
      </c>
      <c r="BF107" s="2">
        <f t="shared" si="74"/>
        <v>0</v>
      </c>
      <c r="BG107" s="2">
        <f t="shared" si="74"/>
        <v>0</v>
      </c>
      <c r="BH107" s="2">
        <f t="shared" si="74"/>
        <v>0</v>
      </c>
      <c r="BI107" s="2">
        <f t="shared" si="74"/>
        <v>0</v>
      </c>
      <c r="BJ107" s="2">
        <f t="shared" si="74"/>
        <v>0</v>
      </c>
      <c r="BK107" s="2">
        <f t="shared" si="74"/>
        <v>0</v>
      </c>
      <c r="BL107" s="2">
        <f t="shared" si="74"/>
        <v>0</v>
      </c>
      <c r="BM107" s="2">
        <f t="shared" si="74"/>
        <v>0</v>
      </c>
      <c r="BN107" s="2">
        <f t="shared" si="74"/>
        <v>0</v>
      </c>
      <c r="BO107" s="2">
        <f t="shared" si="74"/>
        <v>0</v>
      </c>
      <c r="BP107" s="2">
        <f t="shared" si="74"/>
        <v>0</v>
      </c>
      <c r="BQ107" s="2">
        <f t="shared" si="74"/>
        <v>0</v>
      </c>
      <c r="BR107" s="2">
        <f t="shared" si="74"/>
        <v>0</v>
      </c>
      <c r="BS107" s="2">
        <f t="shared" si="74"/>
        <v>0</v>
      </c>
      <c r="BT107" s="2">
        <f t="shared" si="74"/>
        <v>0</v>
      </c>
      <c r="BU107" s="2">
        <f t="shared" si="74"/>
        <v>0</v>
      </c>
      <c r="BV107" s="2">
        <f t="shared" si="74"/>
        <v>0</v>
      </c>
      <c r="BW107" s="2">
        <f t="shared" si="74"/>
        <v>0</v>
      </c>
      <c r="BX107" s="2">
        <f t="shared" si="74"/>
        <v>0</v>
      </c>
      <c r="BY107" s="2">
        <f t="shared" si="74"/>
        <v>0</v>
      </c>
      <c r="BZ107" s="2">
        <f t="shared" si="74"/>
        <v>0</v>
      </c>
      <c r="CA107" s="2">
        <f t="shared" ref="CA107:DF107" si="75">CA115</f>
        <v>5942.67</v>
      </c>
      <c r="CB107" s="2">
        <f t="shared" si="75"/>
        <v>0</v>
      </c>
      <c r="CC107" s="2">
        <f t="shared" si="75"/>
        <v>0</v>
      </c>
      <c r="CD107" s="2">
        <f t="shared" si="75"/>
        <v>5942.67</v>
      </c>
      <c r="CE107" s="2">
        <f t="shared" si="75"/>
        <v>0</v>
      </c>
      <c r="CF107" s="2">
        <f t="shared" si="75"/>
        <v>0</v>
      </c>
      <c r="CG107" s="2">
        <f t="shared" si="75"/>
        <v>0</v>
      </c>
      <c r="CH107" s="2">
        <f t="shared" si="75"/>
        <v>0</v>
      </c>
      <c r="CI107" s="2">
        <f t="shared" si="75"/>
        <v>0</v>
      </c>
      <c r="CJ107" s="2">
        <f t="shared" si="75"/>
        <v>0</v>
      </c>
      <c r="CK107" s="2">
        <f t="shared" si="75"/>
        <v>0</v>
      </c>
      <c r="CL107" s="2">
        <f t="shared" si="75"/>
        <v>0</v>
      </c>
      <c r="CM107" s="2">
        <f t="shared" si="75"/>
        <v>0</v>
      </c>
      <c r="CN107" s="2">
        <f t="shared" si="75"/>
        <v>0</v>
      </c>
      <c r="CO107" s="2">
        <f t="shared" si="75"/>
        <v>0</v>
      </c>
      <c r="CP107" s="2">
        <f t="shared" si="75"/>
        <v>0</v>
      </c>
      <c r="CQ107" s="2">
        <f t="shared" si="75"/>
        <v>0</v>
      </c>
      <c r="CR107" s="2">
        <f t="shared" si="75"/>
        <v>0</v>
      </c>
      <c r="CS107" s="2">
        <f t="shared" si="75"/>
        <v>0</v>
      </c>
      <c r="CT107" s="2">
        <f t="shared" si="75"/>
        <v>0</v>
      </c>
      <c r="CU107" s="2">
        <f t="shared" si="75"/>
        <v>0</v>
      </c>
      <c r="CV107" s="2">
        <f t="shared" si="75"/>
        <v>0</v>
      </c>
      <c r="CW107" s="2">
        <f t="shared" si="75"/>
        <v>0</v>
      </c>
      <c r="CX107" s="2">
        <f t="shared" si="75"/>
        <v>0</v>
      </c>
      <c r="CY107" s="2">
        <f t="shared" si="75"/>
        <v>0</v>
      </c>
      <c r="CZ107" s="2">
        <f t="shared" si="75"/>
        <v>0</v>
      </c>
      <c r="DA107" s="2">
        <f t="shared" si="75"/>
        <v>0</v>
      </c>
      <c r="DB107" s="2">
        <f t="shared" si="75"/>
        <v>0</v>
      </c>
      <c r="DC107" s="2">
        <f t="shared" si="75"/>
        <v>0</v>
      </c>
      <c r="DD107" s="2">
        <f t="shared" si="75"/>
        <v>0</v>
      </c>
      <c r="DE107" s="2">
        <f t="shared" si="75"/>
        <v>0</v>
      </c>
      <c r="DF107" s="2">
        <f t="shared" si="75"/>
        <v>0</v>
      </c>
      <c r="DG107" s="3">
        <f t="shared" ref="DG107:EL107" si="76">DG115</f>
        <v>0</v>
      </c>
      <c r="DH107" s="3">
        <f t="shared" si="76"/>
        <v>0</v>
      </c>
      <c r="DI107" s="3">
        <f t="shared" si="76"/>
        <v>0</v>
      </c>
      <c r="DJ107" s="3">
        <f t="shared" si="76"/>
        <v>0</v>
      </c>
      <c r="DK107" s="3">
        <f t="shared" si="76"/>
        <v>0</v>
      </c>
      <c r="DL107" s="3">
        <f t="shared" si="76"/>
        <v>0</v>
      </c>
      <c r="DM107" s="3">
        <f t="shared" si="76"/>
        <v>0</v>
      </c>
      <c r="DN107" s="3">
        <f t="shared" si="76"/>
        <v>0</v>
      </c>
      <c r="DO107" s="3">
        <f t="shared" si="76"/>
        <v>0</v>
      </c>
      <c r="DP107" s="3">
        <f t="shared" si="76"/>
        <v>0</v>
      </c>
      <c r="DQ107" s="3">
        <f t="shared" si="76"/>
        <v>0</v>
      </c>
      <c r="DR107" s="3">
        <f t="shared" si="76"/>
        <v>0</v>
      </c>
      <c r="DS107" s="3">
        <f t="shared" si="76"/>
        <v>0</v>
      </c>
      <c r="DT107" s="3">
        <f t="shared" si="76"/>
        <v>0</v>
      </c>
      <c r="DU107" s="3">
        <f t="shared" si="76"/>
        <v>0</v>
      </c>
      <c r="DV107" s="3">
        <f t="shared" si="76"/>
        <v>0</v>
      </c>
      <c r="DW107" s="3">
        <f t="shared" si="76"/>
        <v>0</v>
      </c>
      <c r="DX107" s="3">
        <f t="shared" si="76"/>
        <v>0</v>
      </c>
      <c r="DY107" s="3">
        <f t="shared" si="76"/>
        <v>0</v>
      </c>
      <c r="DZ107" s="3">
        <f t="shared" si="76"/>
        <v>0</v>
      </c>
      <c r="EA107" s="3">
        <f t="shared" si="76"/>
        <v>0</v>
      </c>
      <c r="EB107" s="3">
        <f t="shared" si="76"/>
        <v>0</v>
      </c>
      <c r="EC107" s="3">
        <f t="shared" si="76"/>
        <v>0</v>
      </c>
      <c r="ED107" s="3">
        <f t="shared" si="76"/>
        <v>0</v>
      </c>
      <c r="EE107" s="3">
        <f t="shared" si="76"/>
        <v>0</v>
      </c>
      <c r="EF107" s="3">
        <f t="shared" si="76"/>
        <v>0</v>
      </c>
      <c r="EG107" s="3">
        <f t="shared" si="76"/>
        <v>0</v>
      </c>
      <c r="EH107" s="3">
        <f t="shared" si="76"/>
        <v>0</v>
      </c>
      <c r="EI107" s="3">
        <f t="shared" si="76"/>
        <v>0</v>
      </c>
      <c r="EJ107" s="3">
        <f t="shared" si="76"/>
        <v>0</v>
      </c>
      <c r="EK107" s="3">
        <f t="shared" si="76"/>
        <v>0</v>
      </c>
      <c r="EL107" s="3">
        <f t="shared" si="76"/>
        <v>0</v>
      </c>
      <c r="EM107" s="3">
        <f t="shared" ref="EM107:FR107" si="77">EM115</f>
        <v>0</v>
      </c>
      <c r="EN107" s="3">
        <f t="shared" si="77"/>
        <v>0</v>
      </c>
      <c r="EO107" s="3">
        <f t="shared" si="77"/>
        <v>0</v>
      </c>
      <c r="EP107" s="3">
        <f t="shared" si="77"/>
        <v>0</v>
      </c>
      <c r="EQ107" s="3">
        <f t="shared" si="77"/>
        <v>0</v>
      </c>
      <c r="ER107" s="3">
        <f t="shared" si="77"/>
        <v>0</v>
      </c>
      <c r="ES107" s="3">
        <f t="shared" si="77"/>
        <v>0</v>
      </c>
      <c r="ET107" s="3">
        <f t="shared" si="77"/>
        <v>0</v>
      </c>
      <c r="EU107" s="3">
        <f t="shared" si="77"/>
        <v>0</v>
      </c>
      <c r="EV107" s="3">
        <f t="shared" si="77"/>
        <v>0</v>
      </c>
      <c r="EW107" s="3">
        <f t="shared" si="77"/>
        <v>0</v>
      </c>
      <c r="EX107" s="3">
        <f t="shared" si="77"/>
        <v>0</v>
      </c>
      <c r="EY107" s="3">
        <f t="shared" si="77"/>
        <v>0</v>
      </c>
      <c r="EZ107" s="3">
        <f t="shared" si="77"/>
        <v>0</v>
      </c>
      <c r="FA107" s="3">
        <f t="shared" si="77"/>
        <v>0</v>
      </c>
      <c r="FB107" s="3">
        <f t="shared" si="77"/>
        <v>0</v>
      </c>
      <c r="FC107" s="3">
        <f t="shared" si="77"/>
        <v>0</v>
      </c>
      <c r="FD107" s="3">
        <f t="shared" si="77"/>
        <v>0</v>
      </c>
      <c r="FE107" s="3">
        <f t="shared" si="77"/>
        <v>0</v>
      </c>
      <c r="FF107" s="3">
        <f t="shared" si="77"/>
        <v>0</v>
      </c>
      <c r="FG107" s="3">
        <f t="shared" si="77"/>
        <v>0</v>
      </c>
      <c r="FH107" s="3">
        <f t="shared" si="77"/>
        <v>0</v>
      </c>
      <c r="FI107" s="3">
        <f t="shared" si="77"/>
        <v>0</v>
      </c>
      <c r="FJ107" s="3">
        <f t="shared" si="77"/>
        <v>0</v>
      </c>
      <c r="FK107" s="3">
        <f t="shared" si="77"/>
        <v>0</v>
      </c>
      <c r="FL107" s="3">
        <f t="shared" si="77"/>
        <v>0</v>
      </c>
      <c r="FM107" s="3">
        <f t="shared" si="77"/>
        <v>0</v>
      </c>
      <c r="FN107" s="3">
        <f t="shared" si="77"/>
        <v>0</v>
      </c>
      <c r="FO107" s="3">
        <f t="shared" si="77"/>
        <v>0</v>
      </c>
      <c r="FP107" s="3">
        <f t="shared" si="77"/>
        <v>0</v>
      </c>
      <c r="FQ107" s="3">
        <f t="shared" si="77"/>
        <v>0</v>
      </c>
      <c r="FR107" s="3">
        <f t="shared" si="77"/>
        <v>0</v>
      </c>
      <c r="FS107" s="3">
        <f t="shared" ref="FS107:GX107" si="78">FS115</f>
        <v>0</v>
      </c>
      <c r="FT107" s="3">
        <f t="shared" si="78"/>
        <v>0</v>
      </c>
      <c r="FU107" s="3">
        <f t="shared" si="78"/>
        <v>0</v>
      </c>
      <c r="FV107" s="3">
        <f t="shared" si="78"/>
        <v>0</v>
      </c>
      <c r="FW107" s="3">
        <f t="shared" si="78"/>
        <v>0</v>
      </c>
      <c r="FX107" s="3">
        <f t="shared" si="78"/>
        <v>0</v>
      </c>
      <c r="FY107" s="3">
        <f t="shared" si="78"/>
        <v>0</v>
      </c>
      <c r="FZ107" s="3">
        <f t="shared" si="78"/>
        <v>0</v>
      </c>
      <c r="GA107" s="3">
        <f t="shared" si="78"/>
        <v>0</v>
      </c>
      <c r="GB107" s="3">
        <f t="shared" si="78"/>
        <v>0</v>
      </c>
      <c r="GC107" s="3">
        <f t="shared" si="78"/>
        <v>0</v>
      </c>
      <c r="GD107" s="3">
        <f t="shared" si="78"/>
        <v>0</v>
      </c>
      <c r="GE107" s="3">
        <f t="shared" si="78"/>
        <v>0</v>
      </c>
      <c r="GF107" s="3">
        <f t="shared" si="78"/>
        <v>0</v>
      </c>
      <c r="GG107" s="3">
        <f t="shared" si="78"/>
        <v>0</v>
      </c>
      <c r="GH107" s="3">
        <f t="shared" si="78"/>
        <v>0</v>
      </c>
      <c r="GI107" s="3">
        <f t="shared" si="78"/>
        <v>0</v>
      </c>
      <c r="GJ107" s="3">
        <f t="shared" si="78"/>
        <v>0</v>
      </c>
      <c r="GK107" s="3">
        <f t="shared" si="78"/>
        <v>0</v>
      </c>
      <c r="GL107" s="3">
        <f t="shared" si="78"/>
        <v>0</v>
      </c>
      <c r="GM107" s="3">
        <f t="shared" si="78"/>
        <v>0</v>
      </c>
      <c r="GN107" s="3">
        <f t="shared" si="78"/>
        <v>0</v>
      </c>
      <c r="GO107" s="3">
        <f t="shared" si="78"/>
        <v>0</v>
      </c>
      <c r="GP107" s="3">
        <f t="shared" si="78"/>
        <v>0</v>
      </c>
      <c r="GQ107" s="3">
        <f t="shared" si="78"/>
        <v>0</v>
      </c>
      <c r="GR107" s="3">
        <f t="shared" si="78"/>
        <v>0</v>
      </c>
      <c r="GS107" s="3">
        <f t="shared" si="78"/>
        <v>0</v>
      </c>
      <c r="GT107" s="3">
        <f t="shared" si="78"/>
        <v>0</v>
      </c>
      <c r="GU107" s="3">
        <f t="shared" si="78"/>
        <v>0</v>
      </c>
      <c r="GV107" s="3">
        <f t="shared" si="78"/>
        <v>0</v>
      </c>
      <c r="GW107" s="3">
        <f t="shared" si="78"/>
        <v>0</v>
      </c>
      <c r="GX107" s="3">
        <f t="shared" si="78"/>
        <v>0</v>
      </c>
    </row>
    <row r="109" spans="1:245" x14ac:dyDescent="0.2">
      <c r="A109">
        <v>17</v>
      </c>
      <c r="B109">
        <v>1</v>
      </c>
      <c r="E109" t="s">
        <v>143</v>
      </c>
      <c r="F109" t="s">
        <v>144</v>
      </c>
      <c r="G109" t="s">
        <v>145</v>
      </c>
      <c r="H109" t="s">
        <v>146</v>
      </c>
      <c r="I109">
        <v>1</v>
      </c>
      <c r="J109">
        <v>0</v>
      </c>
      <c r="O109">
        <f>ROUND(CP109,2)</f>
        <v>367.58</v>
      </c>
      <c r="P109">
        <f>ROUND((ROUND((AC109*AW109*I109),2)*BC109),2)</f>
        <v>0</v>
      </c>
      <c r="Q109">
        <f>(ROUND((ROUND(((ET109)*AV109*I109),2)*BB109),2)+ROUND((ROUND(((AE109-(EU109))*AV109*I109),2)*BS109),2))</f>
        <v>0</v>
      </c>
      <c r="R109">
        <f>ROUND((ROUND((AE109*AV109*I109),2)*BS109),2)</f>
        <v>0</v>
      </c>
      <c r="S109">
        <f>ROUND((ROUND((AF109*AV109*I109),2)*BA109),2)</f>
        <v>367.58</v>
      </c>
      <c r="T109">
        <f>ROUND(CU109*I109,2)</f>
        <v>0</v>
      </c>
      <c r="U109">
        <f>CV109*I109</f>
        <v>0.93600000000000017</v>
      </c>
      <c r="V109">
        <f>CW109*I109</f>
        <v>0</v>
      </c>
      <c r="W109">
        <f>ROUND(CX109*I109,2)</f>
        <v>0</v>
      </c>
      <c r="X109">
        <f t="shared" ref="X109:Y113" si="79">ROUND(CY109,2)</f>
        <v>249.95</v>
      </c>
      <c r="Y109">
        <f t="shared" si="79"/>
        <v>150.71</v>
      </c>
      <c r="AA109">
        <v>23689695</v>
      </c>
      <c r="AB109">
        <f>ROUND((AC109+AD109+AF109),6)</f>
        <v>14.8096</v>
      </c>
      <c r="AC109">
        <f>ROUND((ES109),6)</f>
        <v>0</v>
      </c>
      <c r="AD109">
        <f>ROUND((((ET109)-(EU109))+AE109),6)</f>
        <v>0</v>
      </c>
      <c r="AE109">
        <f>ROUND((EU109),6)</f>
        <v>0</v>
      </c>
      <c r="AF109">
        <f>ROUND((((EV109*1.3)*0.8)),6)</f>
        <v>14.8096</v>
      </c>
      <c r="AG109">
        <f>ROUND((AP109),6)</f>
        <v>0</v>
      </c>
      <c r="AH109">
        <f>(((EW109*1.3)*0.8))</f>
        <v>0.93600000000000017</v>
      </c>
      <c r="AI109">
        <f>(EX109)</f>
        <v>0</v>
      </c>
      <c r="AJ109">
        <f>(AS109)</f>
        <v>0</v>
      </c>
      <c r="AK109">
        <v>14.24</v>
      </c>
      <c r="AL109">
        <v>0</v>
      </c>
      <c r="AM109">
        <v>0</v>
      </c>
      <c r="AN109">
        <v>0</v>
      </c>
      <c r="AO109">
        <v>14.24</v>
      </c>
      <c r="AP109">
        <v>0</v>
      </c>
      <c r="AQ109">
        <v>0.9</v>
      </c>
      <c r="AR109">
        <v>0</v>
      </c>
      <c r="AS109">
        <v>0</v>
      </c>
      <c r="AT109">
        <v>68</v>
      </c>
      <c r="AU109">
        <v>41</v>
      </c>
      <c r="AV109">
        <v>1</v>
      </c>
      <c r="AW109">
        <v>1</v>
      </c>
      <c r="AZ109">
        <v>1</v>
      </c>
      <c r="BA109">
        <v>24.82</v>
      </c>
      <c r="BB109">
        <v>1</v>
      </c>
      <c r="BC109">
        <v>1</v>
      </c>
      <c r="BD109" t="s">
        <v>3</v>
      </c>
      <c r="BE109" t="s">
        <v>3</v>
      </c>
      <c r="BF109" t="s">
        <v>3</v>
      </c>
      <c r="BG109" t="s">
        <v>3</v>
      </c>
      <c r="BH109">
        <v>0</v>
      </c>
      <c r="BI109">
        <v>4</v>
      </c>
      <c r="BJ109" t="s">
        <v>147</v>
      </c>
      <c r="BM109">
        <v>381</v>
      </c>
      <c r="BN109">
        <v>0</v>
      </c>
      <c r="BO109" t="s">
        <v>3</v>
      </c>
      <c r="BP109">
        <v>0</v>
      </c>
      <c r="BQ109">
        <v>50</v>
      </c>
      <c r="BR109">
        <v>0</v>
      </c>
      <c r="BS109">
        <v>1</v>
      </c>
      <c r="BT109">
        <v>1</v>
      </c>
      <c r="BU109">
        <v>1</v>
      </c>
      <c r="BV109">
        <v>1</v>
      </c>
      <c r="BW109">
        <v>1</v>
      </c>
      <c r="BX109">
        <v>1</v>
      </c>
      <c r="BY109" t="s">
        <v>3</v>
      </c>
      <c r="BZ109">
        <v>68</v>
      </c>
      <c r="CA109">
        <v>41</v>
      </c>
      <c r="CE109">
        <v>30</v>
      </c>
      <c r="CF109">
        <v>0</v>
      </c>
      <c r="CG109">
        <v>0</v>
      </c>
      <c r="CM109">
        <v>0</v>
      </c>
      <c r="CN109" t="s">
        <v>237</v>
      </c>
      <c r="CO109">
        <v>0</v>
      </c>
      <c r="CP109">
        <f>(P109+Q109+S109)</f>
        <v>367.58</v>
      </c>
      <c r="CQ109">
        <f>ROUND((ROUND((AC109*AW109*1),2)*BC109),2)</f>
        <v>0</v>
      </c>
      <c r="CR109">
        <f>(ROUND((ROUND(((ET109)*AV109*1),2)*BB109),2)+ROUND((ROUND(((AE109-(EU109))*AV109*1),2)*BS109),2))</f>
        <v>0</v>
      </c>
      <c r="CS109">
        <f>ROUND((ROUND((AE109*AV109*1),2)*BS109),2)</f>
        <v>0</v>
      </c>
      <c r="CT109">
        <f>ROUND((ROUND((AF109*AV109*1),2)*BA109),2)</f>
        <v>367.58</v>
      </c>
      <c r="CU109">
        <f>AG109</f>
        <v>0</v>
      </c>
      <c r="CV109">
        <f>(AH109*AV109)</f>
        <v>0.93600000000000017</v>
      </c>
      <c r="CW109">
        <f t="shared" ref="CW109:CX113" si="80">AI109</f>
        <v>0</v>
      </c>
      <c r="CX109">
        <f t="shared" si="80"/>
        <v>0</v>
      </c>
      <c r="CY109">
        <f>S109*(BZ109/100)</f>
        <v>249.95440000000002</v>
      </c>
      <c r="CZ109">
        <f>S109*(CA109/100)</f>
        <v>150.70779999999999</v>
      </c>
      <c r="DC109" t="s">
        <v>3</v>
      </c>
      <c r="DD109" t="s">
        <v>3</v>
      </c>
      <c r="DE109" t="s">
        <v>3</v>
      </c>
      <c r="DF109" t="s">
        <v>3</v>
      </c>
      <c r="DG109" t="s">
        <v>148</v>
      </c>
      <c r="DH109" t="s">
        <v>3</v>
      </c>
      <c r="DI109" t="s">
        <v>148</v>
      </c>
      <c r="DJ109" t="s">
        <v>3</v>
      </c>
      <c r="DK109" t="s">
        <v>3</v>
      </c>
      <c r="DL109" t="s">
        <v>3</v>
      </c>
      <c r="DM109" t="s">
        <v>3</v>
      </c>
      <c r="DN109">
        <v>75</v>
      </c>
      <c r="DO109">
        <v>70</v>
      </c>
      <c r="DP109">
        <v>1</v>
      </c>
      <c r="DQ109">
        <v>1</v>
      </c>
      <c r="DU109">
        <v>1013</v>
      </c>
      <c r="DV109" t="s">
        <v>146</v>
      </c>
      <c r="DW109" t="s">
        <v>146</v>
      </c>
      <c r="DX109">
        <v>1</v>
      </c>
      <c r="DZ109" t="s">
        <v>3</v>
      </c>
      <c r="EA109" t="s">
        <v>3</v>
      </c>
      <c r="EB109" t="s">
        <v>3</v>
      </c>
      <c r="EC109" t="s">
        <v>3</v>
      </c>
      <c r="EE109">
        <v>22827222</v>
      </c>
      <c r="EF109">
        <v>50</v>
      </c>
      <c r="EG109" t="s">
        <v>149</v>
      </c>
      <c r="EH109">
        <v>0</v>
      </c>
      <c r="EI109" t="s">
        <v>3</v>
      </c>
      <c r="EJ109">
        <v>4</v>
      </c>
      <c r="EK109">
        <v>381</v>
      </c>
      <c r="EL109" t="s">
        <v>150</v>
      </c>
      <c r="EM109" t="s">
        <v>151</v>
      </c>
      <c r="EO109" t="s">
        <v>152</v>
      </c>
      <c r="EQ109">
        <v>0</v>
      </c>
      <c r="ER109">
        <v>14.24</v>
      </c>
      <c r="ES109">
        <v>0</v>
      </c>
      <c r="ET109">
        <v>0</v>
      </c>
      <c r="EU109">
        <v>0</v>
      </c>
      <c r="EV109">
        <v>14.24</v>
      </c>
      <c r="EW109">
        <v>0.9</v>
      </c>
      <c r="EX109">
        <v>0</v>
      </c>
      <c r="EY109">
        <v>0</v>
      </c>
      <c r="FQ109">
        <v>0</v>
      </c>
      <c r="FR109">
        <f>ROUND(IF(AND(BH109=3,BI109=3),P109,0),2)</f>
        <v>0</v>
      </c>
      <c r="FS109">
        <v>0</v>
      </c>
      <c r="FX109">
        <v>75</v>
      </c>
      <c r="FY109">
        <v>70</v>
      </c>
      <c r="GA109" t="s">
        <v>3</v>
      </c>
      <c r="GD109">
        <v>0</v>
      </c>
      <c r="GF109">
        <v>-1941331641</v>
      </c>
      <c r="GG109">
        <v>2</v>
      </c>
      <c r="GH109">
        <v>1</v>
      </c>
      <c r="GI109">
        <v>2</v>
      </c>
      <c r="GJ109">
        <v>0</v>
      </c>
      <c r="GK109">
        <f>ROUND(R109*(R12)/100,2)</f>
        <v>0</v>
      </c>
      <c r="GL109">
        <f>ROUND(IF(AND(BH109=3,BI109=3,FS109&lt;&gt;0),P109,0),2)</f>
        <v>0</v>
      </c>
      <c r="GM109">
        <f>ROUND(O109+X109+Y109+GK109,2)+GX109</f>
        <v>768.24</v>
      </c>
      <c r="GN109">
        <f>IF(OR(BI109=0,BI109=1),ROUND(O109+X109+Y109+GK109,2),0)</f>
        <v>0</v>
      </c>
      <c r="GO109">
        <f>IF(BI109=2,ROUND(O109+X109+Y109+GK109,2),0)</f>
        <v>0</v>
      </c>
      <c r="GP109">
        <f>IF(BI109=4,ROUND(O109+X109+Y109+GK109,2)+GX109,0)</f>
        <v>768.24</v>
      </c>
      <c r="GR109">
        <v>0</v>
      </c>
      <c r="GS109">
        <v>0</v>
      </c>
      <c r="GT109">
        <v>0</v>
      </c>
      <c r="GU109" t="s">
        <v>3</v>
      </c>
      <c r="GV109">
        <f>ROUND((GT109),6)</f>
        <v>0</v>
      </c>
      <c r="GW109">
        <v>1</v>
      </c>
      <c r="GX109">
        <f>ROUND(HC109*I109,2)</f>
        <v>0</v>
      </c>
      <c r="HA109">
        <v>0</v>
      </c>
      <c r="HB109">
        <v>0</v>
      </c>
      <c r="HC109">
        <f>GV109*GW109</f>
        <v>0</v>
      </c>
      <c r="HE109" t="s">
        <v>3</v>
      </c>
      <c r="HF109" t="s">
        <v>3</v>
      </c>
      <c r="IK109">
        <v>0</v>
      </c>
    </row>
    <row r="110" spans="1:245" x14ac:dyDescent="0.2">
      <c r="A110">
        <v>17</v>
      </c>
      <c r="B110">
        <v>1</v>
      </c>
      <c r="E110" t="s">
        <v>153</v>
      </c>
      <c r="F110" t="s">
        <v>154</v>
      </c>
      <c r="G110" t="s">
        <v>238</v>
      </c>
      <c r="H110" t="s">
        <v>155</v>
      </c>
      <c r="I110">
        <v>6</v>
      </c>
      <c r="J110">
        <v>0</v>
      </c>
      <c r="O110">
        <f>ROUND(CP110,2)</f>
        <v>882.85</v>
      </c>
      <c r="P110">
        <f>ROUND((ROUND((AC110*AW110*I110),2)*BC110),2)</f>
        <v>0</v>
      </c>
      <c r="Q110">
        <f>(ROUND((ROUND(((ET110)*AV110*I110),2)*BB110),2)+ROUND((ROUND(((AE110-(EU110))*AV110*I110),2)*BS110),2))</f>
        <v>0</v>
      </c>
      <c r="R110">
        <f>ROUND((ROUND((AE110*AV110*I110),2)*BS110),2)</f>
        <v>0</v>
      </c>
      <c r="S110">
        <f>ROUND((ROUND((AF110*AV110*I110),2)*BA110),2)</f>
        <v>882.85</v>
      </c>
      <c r="T110">
        <f>ROUND(CU110*I110,2)</f>
        <v>0</v>
      </c>
      <c r="U110">
        <f>CV110*I110</f>
        <v>2.2464</v>
      </c>
      <c r="V110">
        <f>CW110*I110</f>
        <v>0</v>
      </c>
      <c r="W110">
        <f>ROUND(CX110*I110,2)</f>
        <v>0</v>
      </c>
      <c r="X110">
        <f t="shared" si="79"/>
        <v>600.34</v>
      </c>
      <c r="Y110">
        <f t="shared" si="79"/>
        <v>361.97</v>
      </c>
      <c r="AA110">
        <v>23689695</v>
      </c>
      <c r="AB110">
        <f>ROUND((AC110+AD110+AF110),6)</f>
        <v>5.9279999999999999</v>
      </c>
      <c r="AC110">
        <f>ROUND((ES110),6)</f>
        <v>0</v>
      </c>
      <c r="AD110">
        <f>ROUND((((ET110)-(EU110))+AE110),6)</f>
        <v>0</v>
      </c>
      <c r="AE110">
        <f>ROUND((EU110),6)</f>
        <v>0</v>
      </c>
      <c r="AF110">
        <f>ROUND((((EV110*1.3)*0.8)),6)</f>
        <v>5.9279999999999999</v>
      </c>
      <c r="AG110">
        <f>ROUND((AP110),6)</f>
        <v>0</v>
      </c>
      <c r="AH110">
        <f>(((EW110*1.3)*0.8))</f>
        <v>0.37440000000000001</v>
      </c>
      <c r="AI110">
        <f>(EX110)</f>
        <v>0</v>
      </c>
      <c r="AJ110">
        <f>(AS110)</f>
        <v>0</v>
      </c>
      <c r="AK110">
        <v>5.7</v>
      </c>
      <c r="AL110">
        <v>0</v>
      </c>
      <c r="AM110">
        <v>0</v>
      </c>
      <c r="AN110">
        <v>0</v>
      </c>
      <c r="AO110">
        <v>5.7</v>
      </c>
      <c r="AP110">
        <v>0</v>
      </c>
      <c r="AQ110">
        <v>0.36</v>
      </c>
      <c r="AR110">
        <v>0</v>
      </c>
      <c r="AS110">
        <v>0</v>
      </c>
      <c r="AT110">
        <v>68</v>
      </c>
      <c r="AU110">
        <v>41</v>
      </c>
      <c r="AV110">
        <v>1</v>
      </c>
      <c r="AW110">
        <v>1</v>
      </c>
      <c r="AZ110">
        <v>1</v>
      </c>
      <c r="BA110">
        <v>24.82</v>
      </c>
      <c r="BB110">
        <v>1</v>
      </c>
      <c r="BC110">
        <v>1</v>
      </c>
      <c r="BD110" t="s">
        <v>3</v>
      </c>
      <c r="BE110" t="s">
        <v>3</v>
      </c>
      <c r="BF110" t="s">
        <v>3</v>
      </c>
      <c r="BG110" t="s">
        <v>3</v>
      </c>
      <c r="BH110">
        <v>0</v>
      </c>
      <c r="BI110">
        <v>4</v>
      </c>
      <c r="BJ110" t="s">
        <v>156</v>
      </c>
      <c r="BM110">
        <v>381</v>
      </c>
      <c r="BN110">
        <v>0</v>
      </c>
      <c r="BO110" t="s">
        <v>3</v>
      </c>
      <c r="BP110">
        <v>0</v>
      </c>
      <c r="BQ110">
        <v>50</v>
      </c>
      <c r="BR110">
        <v>0</v>
      </c>
      <c r="BS110">
        <v>1</v>
      </c>
      <c r="BT110">
        <v>1</v>
      </c>
      <c r="BU110">
        <v>1</v>
      </c>
      <c r="BV110">
        <v>1</v>
      </c>
      <c r="BW110">
        <v>1</v>
      </c>
      <c r="BX110">
        <v>1</v>
      </c>
      <c r="BY110" t="s">
        <v>3</v>
      </c>
      <c r="BZ110">
        <v>68</v>
      </c>
      <c r="CA110">
        <v>41</v>
      </c>
      <c r="CE110">
        <v>30</v>
      </c>
      <c r="CF110">
        <v>0</v>
      </c>
      <c r="CG110">
        <v>0</v>
      </c>
      <c r="CM110">
        <v>0</v>
      </c>
      <c r="CN110" t="s">
        <v>237</v>
      </c>
      <c r="CO110">
        <v>0</v>
      </c>
      <c r="CP110">
        <f>(P110+Q110+S110)</f>
        <v>882.85</v>
      </c>
      <c r="CQ110">
        <f>ROUND((ROUND((AC110*AW110*1),2)*BC110),2)</f>
        <v>0</v>
      </c>
      <c r="CR110">
        <f>(ROUND((ROUND(((ET110)*AV110*1),2)*BB110),2)+ROUND((ROUND(((AE110-(EU110))*AV110*1),2)*BS110),2))</f>
        <v>0</v>
      </c>
      <c r="CS110">
        <f>ROUND((ROUND((AE110*AV110*1),2)*BS110),2)</f>
        <v>0</v>
      </c>
      <c r="CT110">
        <f>ROUND((ROUND((AF110*AV110*1),2)*BA110),2)</f>
        <v>147.18</v>
      </c>
      <c r="CU110">
        <f>AG110</f>
        <v>0</v>
      </c>
      <c r="CV110">
        <f>(AH110*AV110)</f>
        <v>0.37440000000000001</v>
      </c>
      <c r="CW110">
        <f t="shared" si="80"/>
        <v>0</v>
      </c>
      <c r="CX110">
        <f t="shared" si="80"/>
        <v>0</v>
      </c>
      <c r="CY110">
        <f>S110*(BZ110/100)</f>
        <v>600.33800000000008</v>
      </c>
      <c r="CZ110">
        <f>S110*(CA110/100)</f>
        <v>361.96850000000001</v>
      </c>
      <c r="DC110" t="s">
        <v>3</v>
      </c>
      <c r="DD110" t="s">
        <v>3</v>
      </c>
      <c r="DE110" t="s">
        <v>3</v>
      </c>
      <c r="DF110" t="s">
        <v>3</v>
      </c>
      <c r="DG110" t="s">
        <v>148</v>
      </c>
      <c r="DH110" t="s">
        <v>3</v>
      </c>
      <c r="DI110" t="s">
        <v>148</v>
      </c>
      <c r="DJ110" t="s">
        <v>3</v>
      </c>
      <c r="DK110" t="s">
        <v>3</v>
      </c>
      <c r="DL110" t="s">
        <v>3</v>
      </c>
      <c r="DM110" t="s">
        <v>3</v>
      </c>
      <c r="DN110">
        <v>75</v>
      </c>
      <c r="DO110">
        <v>70</v>
      </c>
      <c r="DP110">
        <v>1</v>
      </c>
      <c r="DQ110">
        <v>1</v>
      </c>
      <c r="DU110">
        <v>1013</v>
      </c>
      <c r="DV110" t="s">
        <v>155</v>
      </c>
      <c r="DW110" t="s">
        <v>155</v>
      </c>
      <c r="DX110">
        <v>1</v>
      </c>
      <c r="DZ110" t="s">
        <v>3</v>
      </c>
      <c r="EA110" t="s">
        <v>3</v>
      </c>
      <c r="EB110" t="s">
        <v>3</v>
      </c>
      <c r="EC110" t="s">
        <v>3</v>
      </c>
      <c r="EE110">
        <v>22827222</v>
      </c>
      <c r="EF110">
        <v>50</v>
      </c>
      <c r="EG110" t="s">
        <v>149</v>
      </c>
      <c r="EH110">
        <v>0</v>
      </c>
      <c r="EI110" t="s">
        <v>3</v>
      </c>
      <c r="EJ110">
        <v>4</v>
      </c>
      <c r="EK110">
        <v>381</v>
      </c>
      <c r="EL110" t="s">
        <v>150</v>
      </c>
      <c r="EM110" t="s">
        <v>151</v>
      </c>
      <c r="EO110" t="s">
        <v>152</v>
      </c>
      <c r="EQ110">
        <v>0</v>
      </c>
      <c r="ER110">
        <v>5.7</v>
      </c>
      <c r="ES110">
        <v>0</v>
      </c>
      <c r="ET110">
        <v>0</v>
      </c>
      <c r="EU110">
        <v>0</v>
      </c>
      <c r="EV110">
        <v>5.7</v>
      </c>
      <c r="EW110">
        <v>0.36</v>
      </c>
      <c r="EX110">
        <v>0</v>
      </c>
      <c r="EY110">
        <v>0</v>
      </c>
      <c r="FQ110">
        <v>0</v>
      </c>
      <c r="FR110">
        <f>ROUND(IF(AND(BH110=3,BI110=3),P110,0),2)</f>
        <v>0</v>
      </c>
      <c r="FS110">
        <v>0</v>
      </c>
      <c r="FX110">
        <v>75</v>
      </c>
      <c r="FY110">
        <v>70</v>
      </c>
      <c r="GA110" t="s">
        <v>3</v>
      </c>
      <c r="GD110">
        <v>0</v>
      </c>
      <c r="GF110">
        <v>538776172</v>
      </c>
      <c r="GG110">
        <v>2</v>
      </c>
      <c r="GH110">
        <v>1</v>
      </c>
      <c r="GI110">
        <v>2</v>
      </c>
      <c r="GJ110">
        <v>0</v>
      </c>
      <c r="GK110">
        <f>ROUND(R110*(R12)/100,2)</f>
        <v>0</v>
      </c>
      <c r="GL110">
        <f>ROUND(IF(AND(BH110=3,BI110=3,FS110&lt;&gt;0),P110,0),2)</f>
        <v>0</v>
      </c>
      <c r="GM110">
        <f>ROUND(O110+X110+Y110+GK110,2)+GX110</f>
        <v>1845.16</v>
      </c>
      <c r="GN110">
        <f>IF(OR(BI110=0,BI110=1),ROUND(O110+X110+Y110+GK110,2),0)</f>
        <v>0</v>
      </c>
      <c r="GO110">
        <f>IF(BI110=2,ROUND(O110+X110+Y110+GK110,2),0)</f>
        <v>0</v>
      </c>
      <c r="GP110">
        <f>IF(BI110=4,ROUND(O110+X110+Y110+GK110,2)+GX110,0)</f>
        <v>1845.16</v>
      </c>
      <c r="GR110">
        <v>0</v>
      </c>
      <c r="GS110">
        <v>0</v>
      </c>
      <c r="GT110">
        <v>0</v>
      </c>
      <c r="GU110" t="s">
        <v>3</v>
      </c>
      <c r="GV110">
        <f>ROUND((GT110),6)</f>
        <v>0</v>
      </c>
      <c r="GW110">
        <v>1</v>
      </c>
      <c r="GX110">
        <f>ROUND(HC110*I110,2)</f>
        <v>0</v>
      </c>
      <c r="HA110">
        <v>0</v>
      </c>
      <c r="HB110">
        <v>0</v>
      </c>
      <c r="HC110">
        <f>GV110*GW110</f>
        <v>0</v>
      </c>
      <c r="HE110" t="s">
        <v>3</v>
      </c>
      <c r="HF110" t="s">
        <v>3</v>
      </c>
      <c r="IK110">
        <v>0</v>
      </c>
    </row>
    <row r="111" spans="1:245" x14ac:dyDescent="0.2">
      <c r="A111">
        <v>17</v>
      </c>
      <c r="B111">
        <v>1</v>
      </c>
      <c r="E111" t="s">
        <v>157</v>
      </c>
      <c r="F111" t="s">
        <v>158</v>
      </c>
      <c r="G111" t="s">
        <v>159</v>
      </c>
      <c r="H111" t="s">
        <v>155</v>
      </c>
      <c r="I111">
        <v>2</v>
      </c>
      <c r="J111">
        <v>0</v>
      </c>
      <c r="O111">
        <f>ROUND(CP111,2)</f>
        <v>817.32</v>
      </c>
      <c r="P111">
        <f>ROUND((ROUND((AC111*AW111*I111),2)*BC111),2)</f>
        <v>0</v>
      </c>
      <c r="Q111">
        <f>(ROUND((ROUND(((ET111)*AV111*I111),2)*BB111),2)+ROUND((ROUND(((AE111-(EU111))*AV111*I111),2)*BS111),2))</f>
        <v>0</v>
      </c>
      <c r="R111">
        <f>ROUND((ROUND((AE111*AV111*I111),2)*BS111),2)</f>
        <v>0</v>
      </c>
      <c r="S111">
        <f>ROUND((ROUND((AF111*AV111*I111),2)*BA111),2)</f>
        <v>817.32</v>
      </c>
      <c r="T111">
        <f>ROUND(CU111*I111,2)</f>
        <v>0</v>
      </c>
      <c r="U111">
        <f>CV111*I111</f>
        <v>2.08</v>
      </c>
      <c r="V111">
        <f>CW111*I111</f>
        <v>0</v>
      </c>
      <c r="W111">
        <f>ROUND(CX111*I111,2)</f>
        <v>0</v>
      </c>
      <c r="X111">
        <f t="shared" si="79"/>
        <v>555.78</v>
      </c>
      <c r="Y111">
        <f t="shared" si="79"/>
        <v>335.1</v>
      </c>
      <c r="AA111">
        <v>23689695</v>
      </c>
      <c r="AB111">
        <f>ROUND((AC111+AD111+AF111),6)</f>
        <v>16.463200000000001</v>
      </c>
      <c r="AC111">
        <f>ROUND((ES111),6)</f>
        <v>0</v>
      </c>
      <c r="AD111">
        <f>ROUND((((ET111)-(EU111))+AE111),6)</f>
        <v>0</v>
      </c>
      <c r="AE111">
        <f>ROUND((EU111),6)</f>
        <v>0</v>
      </c>
      <c r="AF111">
        <f>ROUND((((EV111*1.3)*0.8)),6)</f>
        <v>16.463200000000001</v>
      </c>
      <c r="AG111">
        <f>ROUND((AP111),6)</f>
        <v>0</v>
      </c>
      <c r="AH111">
        <f>(((EW111*1.3)*0.8))</f>
        <v>1.04</v>
      </c>
      <c r="AI111">
        <f>(EX111)</f>
        <v>0</v>
      </c>
      <c r="AJ111">
        <f>(AS111)</f>
        <v>0</v>
      </c>
      <c r="AK111">
        <v>15.83</v>
      </c>
      <c r="AL111">
        <v>0</v>
      </c>
      <c r="AM111">
        <v>0</v>
      </c>
      <c r="AN111">
        <v>0</v>
      </c>
      <c r="AO111">
        <v>15.83</v>
      </c>
      <c r="AP111">
        <v>0</v>
      </c>
      <c r="AQ111">
        <v>1</v>
      </c>
      <c r="AR111">
        <v>0</v>
      </c>
      <c r="AS111">
        <v>0</v>
      </c>
      <c r="AT111">
        <v>68</v>
      </c>
      <c r="AU111">
        <v>41</v>
      </c>
      <c r="AV111">
        <v>1</v>
      </c>
      <c r="AW111">
        <v>1</v>
      </c>
      <c r="AZ111">
        <v>1</v>
      </c>
      <c r="BA111">
        <v>24.82</v>
      </c>
      <c r="BB111">
        <v>1</v>
      </c>
      <c r="BC111">
        <v>1</v>
      </c>
      <c r="BD111" t="s">
        <v>3</v>
      </c>
      <c r="BE111" t="s">
        <v>3</v>
      </c>
      <c r="BF111" t="s">
        <v>3</v>
      </c>
      <c r="BG111" t="s">
        <v>3</v>
      </c>
      <c r="BH111">
        <v>0</v>
      </c>
      <c r="BI111">
        <v>4</v>
      </c>
      <c r="BJ111" t="s">
        <v>160</v>
      </c>
      <c r="BM111">
        <v>381</v>
      </c>
      <c r="BN111">
        <v>0</v>
      </c>
      <c r="BO111" t="s">
        <v>3</v>
      </c>
      <c r="BP111">
        <v>0</v>
      </c>
      <c r="BQ111">
        <v>50</v>
      </c>
      <c r="BR111">
        <v>0</v>
      </c>
      <c r="BS111">
        <v>1</v>
      </c>
      <c r="BT111">
        <v>1</v>
      </c>
      <c r="BU111">
        <v>1</v>
      </c>
      <c r="BV111">
        <v>1</v>
      </c>
      <c r="BW111">
        <v>1</v>
      </c>
      <c r="BX111">
        <v>1</v>
      </c>
      <c r="BY111" t="s">
        <v>3</v>
      </c>
      <c r="BZ111">
        <v>68</v>
      </c>
      <c r="CA111">
        <v>41</v>
      </c>
      <c r="CE111">
        <v>30</v>
      </c>
      <c r="CF111">
        <v>0</v>
      </c>
      <c r="CG111">
        <v>0</v>
      </c>
      <c r="CM111">
        <v>0</v>
      </c>
      <c r="CN111" t="s">
        <v>237</v>
      </c>
      <c r="CO111">
        <v>0</v>
      </c>
      <c r="CP111">
        <f>(P111+Q111+S111)</f>
        <v>817.32</v>
      </c>
      <c r="CQ111">
        <f>ROUND((ROUND((AC111*AW111*1),2)*BC111),2)</f>
        <v>0</v>
      </c>
      <c r="CR111">
        <f>(ROUND((ROUND(((ET111)*AV111*1),2)*BB111),2)+ROUND((ROUND(((AE111-(EU111))*AV111*1),2)*BS111),2))</f>
        <v>0</v>
      </c>
      <c r="CS111">
        <f>ROUND((ROUND((AE111*AV111*1),2)*BS111),2)</f>
        <v>0</v>
      </c>
      <c r="CT111">
        <f>ROUND((ROUND((AF111*AV111*1),2)*BA111),2)</f>
        <v>408.54</v>
      </c>
      <c r="CU111">
        <f>AG111</f>
        <v>0</v>
      </c>
      <c r="CV111">
        <f>(AH111*AV111)</f>
        <v>1.04</v>
      </c>
      <c r="CW111">
        <f t="shared" si="80"/>
        <v>0</v>
      </c>
      <c r="CX111">
        <f t="shared" si="80"/>
        <v>0</v>
      </c>
      <c r="CY111">
        <f>S111*(BZ111/100)</f>
        <v>555.77760000000012</v>
      </c>
      <c r="CZ111">
        <f>S111*(CA111/100)</f>
        <v>335.10120000000001</v>
      </c>
      <c r="DC111" t="s">
        <v>3</v>
      </c>
      <c r="DD111" t="s">
        <v>3</v>
      </c>
      <c r="DE111" t="s">
        <v>3</v>
      </c>
      <c r="DF111" t="s">
        <v>3</v>
      </c>
      <c r="DG111" t="s">
        <v>148</v>
      </c>
      <c r="DH111" t="s">
        <v>3</v>
      </c>
      <c r="DI111" t="s">
        <v>148</v>
      </c>
      <c r="DJ111" t="s">
        <v>3</v>
      </c>
      <c r="DK111" t="s">
        <v>3</v>
      </c>
      <c r="DL111" t="s">
        <v>3</v>
      </c>
      <c r="DM111" t="s">
        <v>3</v>
      </c>
      <c r="DN111">
        <v>75</v>
      </c>
      <c r="DO111">
        <v>70</v>
      </c>
      <c r="DP111">
        <v>1</v>
      </c>
      <c r="DQ111">
        <v>1</v>
      </c>
      <c r="DU111">
        <v>1013</v>
      </c>
      <c r="DV111" t="s">
        <v>155</v>
      </c>
      <c r="DW111" t="s">
        <v>155</v>
      </c>
      <c r="DX111">
        <v>1</v>
      </c>
      <c r="DZ111" t="s">
        <v>3</v>
      </c>
      <c r="EA111" t="s">
        <v>3</v>
      </c>
      <c r="EB111" t="s">
        <v>3</v>
      </c>
      <c r="EC111" t="s">
        <v>3</v>
      </c>
      <c r="EE111">
        <v>22827222</v>
      </c>
      <c r="EF111">
        <v>50</v>
      </c>
      <c r="EG111" t="s">
        <v>149</v>
      </c>
      <c r="EH111">
        <v>0</v>
      </c>
      <c r="EI111" t="s">
        <v>3</v>
      </c>
      <c r="EJ111">
        <v>4</v>
      </c>
      <c r="EK111">
        <v>381</v>
      </c>
      <c r="EL111" t="s">
        <v>150</v>
      </c>
      <c r="EM111" t="s">
        <v>151</v>
      </c>
      <c r="EO111" t="s">
        <v>152</v>
      </c>
      <c r="EQ111">
        <v>0</v>
      </c>
      <c r="ER111">
        <v>15.83</v>
      </c>
      <c r="ES111">
        <v>0</v>
      </c>
      <c r="ET111">
        <v>0</v>
      </c>
      <c r="EU111">
        <v>0</v>
      </c>
      <c r="EV111">
        <v>15.83</v>
      </c>
      <c r="EW111">
        <v>1</v>
      </c>
      <c r="EX111">
        <v>0</v>
      </c>
      <c r="EY111">
        <v>0</v>
      </c>
      <c r="FQ111">
        <v>0</v>
      </c>
      <c r="FR111">
        <f>ROUND(IF(AND(BH111=3,BI111=3),P111,0),2)</f>
        <v>0</v>
      </c>
      <c r="FS111">
        <v>0</v>
      </c>
      <c r="FX111">
        <v>75</v>
      </c>
      <c r="FY111">
        <v>70</v>
      </c>
      <c r="GA111" t="s">
        <v>3</v>
      </c>
      <c r="GD111">
        <v>0</v>
      </c>
      <c r="GF111">
        <v>129305634</v>
      </c>
      <c r="GG111">
        <v>2</v>
      </c>
      <c r="GH111">
        <v>1</v>
      </c>
      <c r="GI111">
        <v>2</v>
      </c>
      <c r="GJ111">
        <v>0</v>
      </c>
      <c r="GK111">
        <f>ROUND(R111*(R12)/100,2)</f>
        <v>0</v>
      </c>
      <c r="GL111">
        <f>ROUND(IF(AND(BH111=3,BI111=3,FS111&lt;&gt;0),P111,0),2)</f>
        <v>0</v>
      </c>
      <c r="GM111">
        <f>ROUND(O111+X111+Y111+GK111,2)+GX111</f>
        <v>1708.2</v>
      </c>
      <c r="GN111">
        <f>IF(OR(BI111=0,BI111=1),ROUND(O111+X111+Y111+GK111,2),0)</f>
        <v>0</v>
      </c>
      <c r="GO111">
        <f>IF(BI111=2,ROUND(O111+X111+Y111+GK111,2),0)</f>
        <v>0</v>
      </c>
      <c r="GP111">
        <f>IF(BI111=4,ROUND(O111+X111+Y111+GK111,2)+GX111,0)</f>
        <v>1708.2</v>
      </c>
      <c r="GR111">
        <v>0</v>
      </c>
      <c r="GS111">
        <v>3</v>
      </c>
      <c r="GT111">
        <v>0</v>
      </c>
      <c r="GU111" t="s">
        <v>3</v>
      </c>
      <c r="GV111">
        <f>ROUND((GT111),6)</f>
        <v>0</v>
      </c>
      <c r="GW111">
        <v>1</v>
      </c>
      <c r="GX111">
        <f>ROUND(HC111*I111,2)</f>
        <v>0</v>
      </c>
      <c r="HA111">
        <v>0</v>
      </c>
      <c r="HB111">
        <v>0</v>
      </c>
      <c r="HC111">
        <f>GV111*GW111</f>
        <v>0</v>
      </c>
      <c r="HE111" t="s">
        <v>3</v>
      </c>
      <c r="HF111" t="s">
        <v>3</v>
      </c>
      <c r="IK111">
        <v>0</v>
      </c>
    </row>
    <row r="112" spans="1:245" x14ac:dyDescent="0.2">
      <c r="A112">
        <v>17</v>
      </c>
      <c r="B112">
        <v>1</v>
      </c>
      <c r="E112" t="s">
        <v>161</v>
      </c>
      <c r="F112" t="s">
        <v>162</v>
      </c>
      <c r="G112" t="s">
        <v>163</v>
      </c>
      <c r="H112" t="s">
        <v>164</v>
      </c>
      <c r="I112">
        <v>6</v>
      </c>
      <c r="J112">
        <v>0</v>
      </c>
      <c r="O112">
        <f>ROUND(CP112,2)</f>
        <v>367.09</v>
      </c>
      <c r="P112">
        <f>ROUND((ROUND((AC112*AW112*I112),2)*BC112),2)</f>
        <v>0</v>
      </c>
      <c r="Q112">
        <f>(ROUND((ROUND(((ET112)*AV112*I112),2)*BB112),2)+ROUND((ROUND(((AE112-(EU112))*AV112*I112),2)*BS112),2))</f>
        <v>0</v>
      </c>
      <c r="R112">
        <f>ROUND((ROUND((AE112*AV112*I112),2)*BS112),2)</f>
        <v>0</v>
      </c>
      <c r="S112">
        <f>ROUND((ROUND((AF112*AV112*I112),2)*BA112),2)</f>
        <v>367.09</v>
      </c>
      <c r="T112">
        <f>ROUND(CU112*I112,2)</f>
        <v>0</v>
      </c>
      <c r="U112">
        <f>CV112*I112</f>
        <v>0.93600000000000017</v>
      </c>
      <c r="V112">
        <f>CW112*I112</f>
        <v>0</v>
      </c>
      <c r="W112">
        <f>ROUND(CX112*I112,2)</f>
        <v>0</v>
      </c>
      <c r="X112">
        <f t="shared" si="79"/>
        <v>249.62</v>
      </c>
      <c r="Y112">
        <f t="shared" si="79"/>
        <v>150.51</v>
      </c>
      <c r="AA112">
        <v>23689695</v>
      </c>
      <c r="AB112">
        <f>ROUND((AC112+AD112+AF112),6)</f>
        <v>2.4647999999999999</v>
      </c>
      <c r="AC112">
        <f>ROUND((ES112),6)</f>
        <v>0</v>
      </c>
      <c r="AD112">
        <f>ROUND((((ET112)-(EU112))+AE112),6)</f>
        <v>0</v>
      </c>
      <c r="AE112">
        <f>ROUND((EU112),6)</f>
        <v>0</v>
      </c>
      <c r="AF112">
        <f>ROUND((((EV112*1.3)*0.8)),6)</f>
        <v>2.4647999999999999</v>
      </c>
      <c r="AG112">
        <f>ROUND((AP112),6)</f>
        <v>0</v>
      </c>
      <c r="AH112">
        <f>(((EW112*1.3)*0.8))</f>
        <v>0.15600000000000003</v>
      </c>
      <c r="AI112">
        <f>(EX112)</f>
        <v>0</v>
      </c>
      <c r="AJ112">
        <f>(AS112)</f>
        <v>0</v>
      </c>
      <c r="AK112">
        <v>2.37</v>
      </c>
      <c r="AL112">
        <v>0</v>
      </c>
      <c r="AM112">
        <v>0</v>
      </c>
      <c r="AN112">
        <v>0</v>
      </c>
      <c r="AO112">
        <v>2.37</v>
      </c>
      <c r="AP112">
        <v>0</v>
      </c>
      <c r="AQ112">
        <v>0.15</v>
      </c>
      <c r="AR112">
        <v>0</v>
      </c>
      <c r="AS112">
        <v>0</v>
      </c>
      <c r="AT112">
        <v>68</v>
      </c>
      <c r="AU112">
        <v>41</v>
      </c>
      <c r="AV112">
        <v>1</v>
      </c>
      <c r="AW112">
        <v>1</v>
      </c>
      <c r="AZ112">
        <v>1</v>
      </c>
      <c r="BA112">
        <v>24.82</v>
      </c>
      <c r="BB112">
        <v>1</v>
      </c>
      <c r="BC112">
        <v>1</v>
      </c>
      <c r="BD112" t="s">
        <v>3</v>
      </c>
      <c r="BE112" t="s">
        <v>3</v>
      </c>
      <c r="BF112" t="s">
        <v>3</v>
      </c>
      <c r="BG112" t="s">
        <v>3</v>
      </c>
      <c r="BH112">
        <v>0</v>
      </c>
      <c r="BI112">
        <v>4</v>
      </c>
      <c r="BJ112" t="s">
        <v>165</v>
      </c>
      <c r="BM112">
        <v>381</v>
      </c>
      <c r="BN112">
        <v>0</v>
      </c>
      <c r="BO112" t="s">
        <v>3</v>
      </c>
      <c r="BP112">
        <v>0</v>
      </c>
      <c r="BQ112">
        <v>50</v>
      </c>
      <c r="BR112">
        <v>0</v>
      </c>
      <c r="BS112">
        <v>1</v>
      </c>
      <c r="BT112">
        <v>1</v>
      </c>
      <c r="BU112">
        <v>1</v>
      </c>
      <c r="BV112">
        <v>1</v>
      </c>
      <c r="BW112">
        <v>1</v>
      </c>
      <c r="BX112">
        <v>1</v>
      </c>
      <c r="BY112" t="s">
        <v>3</v>
      </c>
      <c r="BZ112">
        <v>68</v>
      </c>
      <c r="CA112">
        <v>41</v>
      </c>
      <c r="CE112">
        <v>30</v>
      </c>
      <c r="CF112">
        <v>0</v>
      </c>
      <c r="CG112">
        <v>0</v>
      </c>
      <c r="CM112">
        <v>0</v>
      </c>
      <c r="CN112" t="s">
        <v>237</v>
      </c>
      <c r="CO112">
        <v>0</v>
      </c>
      <c r="CP112">
        <f>(P112+Q112+S112)</f>
        <v>367.09</v>
      </c>
      <c r="CQ112">
        <f>ROUND((ROUND((AC112*AW112*1),2)*BC112),2)</f>
        <v>0</v>
      </c>
      <c r="CR112">
        <f>(ROUND((ROUND(((ET112)*AV112*1),2)*BB112),2)+ROUND((ROUND(((AE112-(EU112))*AV112*1),2)*BS112),2))</f>
        <v>0</v>
      </c>
      <c r="CS112">
        <f>ROUND((ROUND((AE112*AV112*1),2)*BS112),2)</f>
        <v>0</v>
      </c>
      <c r="CT112">
        <f>ROUND((ROUND((AF112*AV112*1),2)*BA112),2)</f>
        <v>61.06</v>
      </c>
      <c r="CU112">
        <f>AG112</f>
        <v>0</v>
      </c>
      <c r="CV112">
        <f>(AH112*AV112)</f>
        <v>0.15600000000000003</v>
      </c>
      <c r="CW112">
        <f t="shared" si="80"/>
        <v>0</v>
      </c>
      <c r="CX112">
        <f t="shared" si="80"/>
        <v>0</v>
      </c>
      <c r="CY112">
        <f>S112*(BZ112/100)</f>
        <v>249.62119999999999</v>
      </c>
      <c r="CZ112">
        <f>S112*(CA112/100)</f>
        <v>150.50689999999997</v>
      </c>
      <c r="DC112" t="s">
        <v>3</v>
      </c>
      <c r="DD112" t="s">
        <v>3</v>
      </c>
      <c r="DE112" t="s">
        <v>3</v>
      </c>
      <c r="DF112" t="s">
        <v>3</v>
      </c>
      <c r="DG112" t="s">
        <v>148</v>
      </c>
      <c r="DH112" t="s">
        <v>3</v>
      </c>
      <c r="DI112" t="s">
        <v>148</v>
      </c>
      <c r="DJ112" t="s">
        <v>3</v>
      </c>
      <c r="DK112" t="s">
        <v>3</v>
      </c>
      <c r="DL112" t="s">
        <v>3</v>
      </c>
      <c r="DM112" t="s">
        <v>3</v>
      </c>
      <c r="DN112">
        <v>75</v>
      </c>
      <c r="DO112">
        <v>70</v>
      </c>
      <c r="DP112">
        <v>1</v>
      </c>
      <c r="DQ112">
        <v>1</v>
      </c>
      <c r="DU112">
        <v>1013</v>
      </c>
      <c r="DV112" t="s">
        <v>164</v>
      </c>
      <c r="DW112" t="s">
        <v>164</v>
      </c>
      <c r="DX112">
        <v>1</v>
      </c>
      <c r="DZ112" t="s">
        <v>3</v>
      </c>
      <c r="EA112" t="s">
        <v>3</v>
      </c>
      <c r="EB112" t="s">
        <v>3</v>
      </c>
      <c r="EC112" t="s">
        <v>3</v>
      </c>
      <c r="EE112">
        <v>22827222</v>
      </c>
      <c r="EF112">
        <v>50</v>
      </c>
      <c r="EG112" t="s">
        <v>149</v>
      </c>
      <c r="EH112">
        <v>0</v>
      </c>
      <c r="EI112" t="s">
        <v>3</v>
      </c>
      <c r="EJ112">
        <v>4</v>
      </c>
      <c r="EK112">
        <v>381</v>
      </c>
      <c r="EL112" t="s">
        <v>150</v>
      </c>
      <c r="EM112" t="s">
        <v>151</v>
      </c>
      <c r="EO112" t="s">
        <v>152</v>
      </c>
      <c r="EQ112">
        <v>0</v>
      </c>
      <c r="ER112">
        <v>2.37</v>
      </c>
      <c r="ES112">
        <v>0</v>
      </c>
      <c r="ET112">
        <v>0</v>
      </c>
      <c r="EU112">
        <v>0</v>
      </c>
      <c r="EV112">
        <v>2.37</v>
      </c>
      <c r="EW112">
        <v>0.15</v>
      </c>
      <c r="EX112">
        <v>0</v>
      </c>
      <c r="EY112">
        <v>0</v>
      </c>
      <c r="FQ112">
        <v>0</v>
      </c>
      <c r="FR112">
        <f>ROUND(IF(AND(BH112=3,BI112=3),P112,0),2)</f>
        <v>0</v>
      </c>
      <c r="FS112">
        <v>0</v>
      </c>
      <c r="FX112">
        <v>75</v>
      </c>
      <c r="FY112">
        <v>70</v>
      </c>
      <c r="GA112" t="s">
        <v>3</v>
      </c>
      <c r="GD112">
        <v>0</v>
      </c>
      <c r="GF112">
        <v>1785522873</v>
      </c>
      <c r="GG112">
        <v>2</v>
      </c>
      <c r="GH112">
        <v>1</v>
      </c>
      <c r="GI112">
        <v>2</v>
      </c>
      <c r="GJ112">
        <v>0</v>
      </c>
      <c r="GK112">
        <f>ROUND(R112*(R12)/100,2)</f>
        <v>0</v>
      </c>
      <c r="GL112">
        <f>ROUND(IF(AND(BH112=3,BI112=3,FS112&lt;&gt;0),P112,0),2)</f>
        <v>0</v>
      </c>
      <c r="GM112">
        <f>ROUND(O112+X112+Y112+GK112,2)+GX112</f>
        <v>767.22</v>
      </c>
      <c r="GN112">
        <f>IF(OR(BI112=0,BI112=1),ROUND(O112+X112+Y112+GK112,2),0)</f>
        <v>0</v>
      </c>
      <c r="GO112">
        <f>IF(BI112=2,ROUND(O112+X112+Y112+GK112,2),0)</f>
        <v>0</v>
      </c>
      <c r="GP112">
        <f>IF(BI112=4,ROUND(O112+X112+Y112+GK112,2)+GX112,0)</f>
        <v>767.22</v>
      </c>
      <c r="GR112">
        <v>0</v>
      </c>
      <c r="GS112">
        <v>3</v>
      </c>
      <c r="GT112">
        <v>0</v>
      </c>
      <c r="GU112" t="s">
        <v>3</v>
      </c>
      <c r="GV112">
        <f>ROUND((GT112),6)</f>
        <v>0</v>
      </c>
      <c r="GW112">
        <v>1</v>
      </c>
      <c r="GX112">
        <f>ROUND(HC112*I112,2)</f>
        <v>0</v>
      </c>
      <c r="HA112">
        <v>0</v>
      </c>
      <c r="HB112">
        <v>0</v>
      </c>
      <c r="HC112">
        <f>GV112*GW112</f>
        <v>0</v>
      </c>
      <c r="HE112" t="s">
        <v>3</v>
      </c>
      <c r="HF112" t="s">
        <v>3</v>
      </c>
      <c r="IK112">
        <v>0</v>
      </c>
    </row>
    <row r="113" spans="1:245" x14ac:dyDescent="0.2">
      <c r="A113">
        <v>17</v>
      </c>
      <c r="B113">
        <v>1</v>
      </c>
      <c r="E113" t="s">
        <v>166</v>
      </c>
      <c r="F113" t="s">
        <v>167</v>
      </c>
      <c r="G113" t="s">
        <v>168</v>
      </c>
      <c r="H113" t="s">
        <v>169</v>
      </c>
      <c r="I113">
        <v>1</v>
      </c>
      <c r="J113">
        <v>0</v>
      </c>
      <c r="O113">
        <f>ROUND(CP113,2)</f>
        <v>408.54</v>
      </c>
      <c r="P113">
        <f>ROUND((ROUND((AC113*AW113*I113),2)*BC113),2)</f>
        <v>0</v>
      </c>
      <c r="Q113">
        <f>(ROUND((ROUND(((ET113)*AV113*I113),2)*BB113),2)+ROUND((ROUND(((AE113-(EU113))*AV113*I113),2)*BS113),2))</f>
        <v>0</v>
      </c>
      <c r="R113">
        <f>ROUND((ROUND((AE113*AV113*I113),2)*BS113),2)</f>
        <v>0</v>
      </c>
      <c r="S113">
        <f>ROUND((ROUND((AF113*AV113*I113),2)*BA113),2)</f>
        <v>408.54</v>
      </c>
      <c r="T113">
        <f>ROUND(CU113*I113,2)</f>
        <v>0</v>
      </c>
      <c r="U113">
        <f>CV113*I113</f>
        <v>1.04</v>
      </c>
      <c r="V113">
        <f>CW113*I113</f>
        <v>0</v>
      </c>
      <c r="W113">
        <f>ROUND(CX113*I113,2)</f>
        <v>0</v>
      </c>
      <c r="X113">
        <f t="shared" si="79"/>
        <v>277.81</v>
      </c>
      <c r="Y113">
        <f t="shared" si="79"/>
        <v>167.5</v>
      </c>
      <c r="AA113">
        <v>23689695</v>
      </c>
      <c r="AB113">
        <f>ROUND((AC113+AD113+AF113),6)</f>
        <v>16.463200000000001</v>
      </c>
      <c r="AC113">
        <f>ROUND((ES113),6)</f>
        <v>0</v>
      </c>
      <c r="AD113">
        <f>ROUND((((ET113)-(EU113))+AE113),6)</f>
        <v>0</v>
      </c>
      <c r="AE113">
        <f>ROUND((EU113),6)</f>
        <v>0</v>
      </c>
      <c r="AF113">
        <f>ROUND((((EV113*1.3)*0.8)),6)</f>
        <v>16.463200000000001</v>
      </c>
      <c r="AG113">
        <f>ROUND((AP113),6)</f>
        <v>0</v>
      </c>
      <c r="AH113">
        <f>(((EW113*1.3)*0.8))</f>
        <v>1.04</v>
      </c>
      <c r="AI113">
        <f>(EX113)</f>
        <v>0</v>
      </c>
      <c r="AJ113">
        <f>(AS113)</f>
        <v>0</v>
      </c>
      <c r="AK113">
        <v>15.83</v>
      </c>
      <c r="AL113">
        <v>0</v>
      </c>
      <c r="AM113">
        <v>0</v>
      </c>
      <c r="AN113">
        <v>0</v>
      </c>
      <c r="AO113">
        <v>15.83</v>
      </c>
      <c r="AP113">
        <v>0</v>
      </c>
      <c r="AQ113">
        <v>1</v>
      </c>
      <c r="AR113">
        <v>0</v>
      </c>
      <c r="AS113">
        <v>0</v>
      </c>
      <c r="AT113">
        <v>68</v>
      </c>
      <c r="AU113">
        <v>41</v>
      </c>
      <c r="AV113">
        <v>1</v>
      </c>
      <c r="AW113">
        <v>1</v>
      </c>
      <c r="AZ113">
        <v>1</v>
      </c>
      <c r="BA113">
        <v>24.82</v>
      </c>
      <c r="BB113">
        <v>1</v>
      </c>
      <c r="BC113">
        <v>1</v>
      </c>
      <c r="BD113" t="s">
        <v>3</v>
      </c>
      <c r="BE113" t="s">
        <v>3</v>
      </c>
      <c r="BF113" t="s">
        <v>3</v>
      </c>
      <c r="BG113" t="s">
        <v>3</v>
      </c>
      <c r="BH113">
        <v>0</v>
      </c>
      <c r="BI113">
        <v>4</v>
      </c>
      <c r="BJ113" t="s">
        <v>170</v>
      </c>
      <c r="BM113">
        <v>381</v>
      </c>
      <c r="BN113">
        <v>0</v>
      </c>
      <c r="BO113" t="s">
        <v>3</v>
      </c>
      <c r="BP113">
        <v>0</v>
      </c>
      <c r="BQ113">
        <v>50</v>
      </c>
      <c r="BR113">
        <v>0</v>
      </c>
      <c r="BS113">
        <v>1</v>
      </c>
      <c r="BT113">
        <v>1</v>
      </c>
      <c r="BU113">
        <v>1</v>
      </c>
      <c r="BV113">
        <v>1</v>
      </c>
      <c r="BW113">
        <v>1</v>
      </c>
      <c r="BX113">
        <v>1</v>
      </c>
      <c r="BY113" t="s">
        <v>3</v>
      </c>
      <c r="BZ113">
        <v>68</v>
      </c>
      <c r="CA113">
        <v>41</v>
      </c>
      <c r="CE113">
        <v>30</v>
      </c>
      <c r="CF113">
        <v>0</v>
      </c>
      <c r="CG113">
        <v>0</v>
      </c>
      <c r="CM113">
        <v>0</v>
      </c>
      <c r="CN113" t="s">
        <v>237</v>
      </c>
      <c r="CO113">
        <v>0</v>
      </c>
      <c r="CP113">
        <f>(P113+Q113+S113)</f>
        <v>408.54</v>
      </c>
      <c r="CQ113">
        <f>ROUND((ROUND((AC113*AW113*1),2)*BC113),2)</f>
        <v>0</v>
      </c>
      <c r="CR113">
        <f>(ROUND((ROUND(((ET113)*AV113*1),2)*BB113),2)+ROUND((ROUND(((AE113-(EU113))*AV113*1),2)*BS113),2))</f>
        <v>0</v>
      </c>
      <c r="CS113">
        <f>ROUND((ROUND((AE113*AV113*1),2)*BS113),2)</f>
        <v>0</v>
      </c>
      <c r="CT113">
        <f>ROUND((ROUND((AF113*AV113*1),2)*BA113),2)</f>
        <v>408.54</v>
      </c>
      <c r="CU113">
        <f>AG113</f>
        <v>0</v>
      </c>
      <c r="CV113">
        <f>(AH113*AV113)</f>
        <v>1.04</v>
      </c>
      <c r="CW113">
        <f t="shared" si="80"/>
        <v>0</v>
      </c>
      <c r="CX113">
        <f t="shared" si="80"/>
        <v>0</v>
      </c>
      <c r="CY113">
        <f>S113*(BZ113/100)</f>
        <v>277.80720000000002</v>
      </c>
      <c r="CZ113">
        <f>S113*(CA113/100)</f>
        <v>167.50139999999999</v>
      </c>
      <c r="DC113" t="s">
        <v>3</v>
      </c>
      <c r="DD113" t="s">
        <v>3</v>
      </c>
      <c r="DE113" t="s">
        <v>3</v>
      </c>
      <c r="DF113" t="s">
        <v>3</v>
      </c>
      <c r="DG113" t="s">
        <v>148</v>
      </c>
      <c r="DH113" t="s">
        <v>3</v>
      </c>
      <c r="DI113" t="s">
        <v>148</v>
      </c>
      <c r="DJ113" t="s">
        <v>3</v>
      </c>
      <c r="DK113" t="s">
        <v>3</v>
      </c>
      <c r="DL113" t="s">
        <v>3</v>
      </c>
      <c r="DM113" t="s">
        <v>3</v>
      </c>
      <c r="DN113">
        <v>75</v>
      </c>
      <c r="DO113">
        <v>70</v>
      </c>
      <c r="DP113">
        <v>1</v>
      </c>
      <c r="DQ113">
        <v>1</v>
      </c>
      <c r="DU113">
        <v>1013</v>
      </c>
      <c r="DV113" t="s">
        <v>169</v>
      </c>
      <c r="DW113" t="s">
        <v>169</v>
      </c>
      <c r="DX113">
        <v>1</v>
      </c>
      <c r="DZ113" t="s">
        <v>3</v>
      </c>
      <c r="EA113" t="s">
        <v>3</v>
      </c>
      <c r="EB113" t="s">
        <v>3</v>
      </c>
      <c r="EC113" t="s">
        <v>3</v>
      </c>
      <c r="EE113">
        <v>22827222</v>
      </c>
      <c r="EF113">
        <v>50</v>
      </c>
      <c r="EG113" t="s">
        <v>149</v>
      </c>
      <c r="EH113">
        <v>0</v>
      </c>
      <c r="EI113" t="s">
        <v>3</v>
      </c>
      <c r="EJ113">
        <v>4</v>
      </c>
      <c r="EK113">
        <v>381</v>
      </c>
      <c r="EL113" t="s">
        <v>150</v>
      </c>
      <c r="EM113" t="s">
        <v>151</v>
      </c>
      <c r="EO113" t="s">
        <v>152</v>
      </c>
      <c r="EQ113">
        <v>0</v>
      </c>
      <c r="ER113">
        <v>15.83</v>
      </c>
      <c r="ES113">
        <v>0</v>
      </c>
      <c r="ET113">
        <v>0</v>
      </c>
      <c r="EU113">
        <v>0</v>
      </c>
      <c r="EV113">
        <v>15.83</v>
      </c>
      <c r="EW113">
        <v>1</v>
      </c>
      <c r="EX113">
        <v>0</v>
      </c>
      <c r="EY113">
        <v>0</v>
      </c>
      <c r="FQ113">
        <v>0</v>
      </c>
      <c r="FR113">
        <f>ROUND(IF(AND(BH113=3,BI113=3),P113,0),2)</f>
        <v>0</v>
      </c>
      <c r="FS113">
        <v>0</v>
      </c>
      <c r="FX113">
        <v>75</v>
      </c>
      <c r="FY113">
        <v>70</v>
      </c>
      <c r="GA113" t="s">
        <v>3</v>
      </c>
      <c r="GD113">
        <v>0</v>
      </c>
      <c r="GF113">
        <v>-1451490708</v>
      </c>
      <c r="GG113">
        <v>2</v>
      </c>
      <c r="GH113">
        <v>1</v>
      </c>
      <c r="GI113">
        <v>2</v>
      </c>
      <c r="GJ113">
        <v>0</v>
      </c>
      <c r="GK113">
        <f>ROUND(R113*(R12)/100,2)</f>
        <v>0</v>
      </c>
      <c r="GL113">
        <f>ROUND(IF(AND(BH113=3,BI113=3,FS113&lt;&gt;0),P113,0),2)</f>
        <v>0</v>
      </c>
      <c r="GM113">
        <f>ROUND(O113+X113+Y113+GK113,2)+GX113</f>
        <v>853.85</v>
      </c>
      <c r="GN113">
        <f>IF(OR(BI113=0,BI113=1),ROUND(O113+X113+Y113+GK113,2),0)</f>
        <v>0</v>
      </c>
      <c r="GO113">
        <f>IF(BI113=2,ROUND(O113+X113+Y113+GK113,2),0)</f>
        <v>0</v>
      </c>
      <c r="GP113">
        <f>IF(BI113=4,ROUND(O113+X113+Y113+GK113,2)+GX113,0)</f>
        <v>853.85</v>
      </c>
      <c r="GR113">
        <v>0</v>
      </c>
      <c r="GS113">
        <v>3</v>
      </c>
      <c r="GT113">
        <v>0</v>
      </c>
      <c r="GU113" t="s">
        <v>3</v>
      </c>
      <c r="GV113">
        <f>ROUND((GT113),6)</f>
        <v>0</v>
      </c>
      <c r="GW113">
        <v>1</v>
      </c>
      <c r="GX113">
        <f>ROUND(HC113*I113,2)</f>
        <v>0</v>
      </c>
      <c r="HA113">
        <v>0</v>
      </c>
      <c r="HB113">
        <v>0</v>
      </c>
      <c r="HC113">
        <f>GV113*GW113</f>
        <v>0</v>
      </c>
      <c r="HE113" t="s">
        <v>3</v>
      </c>
      <c r="HF113" t="s">
        <v>3</v>
      </c>
      <c r="IK113">
        <v>0</v>
      </c>
    </row>
    <row r="115" spans="1:245" x14ac:dyDescent="0.2">
      <c r="A115" s="2">
        <v>51</v>
      </c>
      <c r="B115" s="2">
        <f>B105</f>
        <v>1</v>
      </c>
      <c r="C115" s="2">
        <f>A105</f>
        <v>4</v>
      </c>
      <c r="D115" s="2">
        <f>ROW(A105)</f>
        <v>105</v>
      </c>
      <c r="E115" s="2"/>
      <c r="F115" s="2" t="str">
        <f>IF(F105&lt;&gt;"",F105,"")</f>
        <v>Новый раздел</v>
      </c>
      <c r="G115" s="2" t="str">
        <f>IF(G105&lt;&gt;"",G105,"")</f>
        <v>Пуско-наладочные работы</v>
      </c>
      <c r="H115" s="2">
        <v>0</v>
      </c>
      <c r="I115" s="2"/>
      <c r="J115" s="2"/>
      <c r="K115" s="2"/>
      <c r="L115" s="2"/>
      <c r="M115" s="2"/>
      <c r="N115" s="2"/>
      <c r="O115" s="2">
        <f t="shared" ref="O115:T115" si="81">ROUND(AB115,2)</f>
        <v>2843.38</v>
      </c>
      <c r="P115" s="2">
        <f t="shared" si="81"/>
        <v>0</v>
      </c>
      <c r="Q115" s="2">
        <f t="shared" si="81"/>
        <v>0</v>
      </c>
      <c r="R115" s="2">
        <f t="shared" si="81"/>
        <v>0</v>
      </c>
      <c r="S115" s="2">
        <f t="shared" si="81"/>
        <v>2843.38</v>
      </c>
      <c r="T115" s="2">
        <f t="shared" si="81"/>
        <v>0</v>
      </c>
      <c r="U115" s="2">
        <f>AH115</f>
        <v>7.2384000000000004</v>
      </c>
      <c r="V115" s="2">
        <f>AI115</f>
        <v>0</v>
      </c>
      <c r="W115" s="2">
        <f>ROUND(AJ115,2)</f>
        <v>0</v>
      </c>
      <c r="X115" s="2">
        <f>ROUND(AK115,2)</f>
        <v>1933.5</v>
      </c>
      <c r="Y115" s="2">
        <f>ROUND(AL115,2)</f>
        <v>1165.79</v>
      </c>
      <c r="Z115" s="2"/>
      <c r="AA115" s="2"/>
      <c r="AB115" s="2">
        <f>ROUND(SUMIF(AA109:AA113,"=23689695",O109:O113),2)</f>
        <v>2843.38</v>
      </c>
      <c r="AC115" s="2">
        <f>ROUND(SUMIF(AA109:AA113,"=23689695",P109:P113),2)</f>
        <v>0</v>
      </c>
      <c r="AD115" s="2">
        <f>ROUND(SUMIF(AA109:AA113,"=23689695",Q109:Q113),2)</f>
        <v>0</v>
      </c>
      <c r="AE115" s="2">
        <f>ROUND(SUMIF(AA109:AA113,"=23689695",R109:R113),2)</f>
        <v>0</v>
      </c>
      <c r="AF115" s="2">
        <f>ROUND(SUMIF(AA109:AA113,"=23689695",S109:S113),2)</f>
        <v>2843.38</v>
      </c>
      <c r="AG115" s="2">
        <f>ROUND(SUMIF(AA109:AA113,"=23689695",T109:T113),2)</f>
        <v>0</v>
      </c>
      <c r="AH115" s="2">
        <f>SUMIF(AA109:AA113,"=23689695",U109:U113)</f>
        <v>7.2384000000000004</v>
      </c>
      <c r="AI115" s="2">
        <f>SUMIF(AA109:AA113,"=23689695",V109:V113)</f>
        <v>0</v>
      </c>
      <c r="AJ115" s="2">
        <f>ROUND(SUMIF(AA109:AA113,"=23689695",W109:W113),2)</f>
        <v>0</v>
      </c>
      <c r="AK115" s="2">
        <f>ROUND(SUMIF(AA109:AA113,"=23689695",X109:X113),2)</f>
        <v>1933.5</v>
      </c>
      <c r="AL115" s="2">
        <f>ROUND(SUMIF(AA109:AA113,"=23689695",Y109:Y113),2)</f>
        <v>1165.79</v>
      </c>
      <c r="AM115" s="2"/>
      <c r="AN115" s="2"/>
      <c r="AO115" s="2">
        <f t="shared" ref="AO115:BD115" si="82">ROUND(BX115,2)</f>
        <v>0</v>
      </c>
      <c r="AP115" s="2">
        <f t="shared" si="82"/>
        <v>0</v>
      </c>
      <c r="AQ115" s="2">
        <f t="shared" si="82"/>
        <v>0</v>
      </c>
      <c r="AR115" s="2">
        <f t="shared" si="82"/>
        <v>5942.67</v>
      </c>
      <c r="AS115" s="2">
        <f t="shared" si="82"/>
        <v>0</v>
      </c>
      <c r="AT115" s="2">
        <f t="shared" si="82"/>
        <v>0</v>
      </c>
      <c r="AU115" s="2">
        <f t="shared" si="82"/>
        <v>5942.67</v>
      </c>
      <c r="AV115" s="2">
        <f t="shared" si="82"/>
        <v>0</v>
      </c>
      <c r="AW115" s="2">
        <f t="shared" si="82"/>
        <v>0</v>
      </c>
      <c r="AX115" s="2">
        <f t="shared" si="82"/>
        <v>0</v>
      </c>
      <c r="AY115" s="2">
        <f t="shared" si="82"/>
        <v>0</v>
      </c>
      <c r="AZ115" s="2">
        <f t="shared" si="82"/>
        <v>0</v>
      </c>
      <c r="BA115" s="2">
        <f t="shared" si="82"/>
        <v>0</v>
      </c>
      <c r="BB115" s="2">
        <f t="shared" si="82"/>
        <v>0</v>
      </c>
      <c r="BC115" s="2">
        <f t="shared" si="82"/>
        <v>0</v>
      </c>
      <c r="BD115" s="2">
        <f t="shared" si="82"/>
        <v>0</v>
      </c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>
        <f>ROUND(SUMIF(AA109:AA113,"=23689695",FQ109:FQ113),2)</f>
        <v>0</v>
      </c>
      <c r="BY115" s="2">
        <f>ROUND(SUMIF(AA109:AA113,"=23689695",FR109:FR113),2)</f>
        <v>0</v>
      </c>
      <c r="BZ115" s="2">
        <f>ROUND(SUMIF(AA109:AA113,"=23689695",GL109:GL113),2)</f>
        <v>0</v>
      </c>
      <c r="CA115" s="2">
        <f>ROUND(SUMIF(AA109:AA113,"=23689695",GM109:GM113),2)</f>
        <v>5942.67</v>
      </c>
      <c r="CB115" s="2">
        <f>ROUND(SUMIF(AA109:AA113,"=23689695",GN109:GN113),2)</f>
        <v>0</v>
      </c>
      <c r="CC115" s="2">
        <f>ROUND(SUMIF(AA109:AA113,"=23689695",GO109:GO113),2)</f>
        <v>0</v>
      </c>
      <c r="CD115" s="2">
        <f>ROUND(SUMIF(AA109:AA113,"=23689695",GP109:GP113),2)</f>
        <v>5942.67</v>
      </c>
      <c r="CE115" s="2">
        <f>AC115-BX115</f>
        <v>0</v>
      </c>
      <c r="CF115" s="2">
        <f>AC115-BY115</f>
        <v>0</v>
      </c>
      <c r="CG115" s="2">
        <f>BX115-BZ115</f>
        <v>0</v>
      </c>
      <c r="CH115" s="2">
        <f>AC115-BX115-BY115+BZ115</f>
        <v>0</v>
      </c>
      <c r="CI115" s="2">
        <f>BY115-BZ115</f>
        <v>0</v>
      </c>
      <c r="CJ115" s="2">
        <f>ROUND(SUMIF(AA109:AA113,"=23689695",GX109:GX113),2)</f>
        <v>0</v>
      </c>
      <c r="CK115" s="2">
        <f>ROUND(SUMIF(AA109:AA113,"=23689695",GY109:GY113),2)</f>
        <v>0</v>
      </c>
      <c r="CL115" s="2">
        <f>ROUND(SUMIF(AA109:AA113,"=23689695",GZ109:GZ113),2)</f>
        <v>0</v>
      </c>
      <c r="CM115" s="2">
        <f>ROUND(SUMIF(AA109:AA113,"=23689695",HD109:HD113),2)</f>
        <v>0</v>
      </c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>
        <v>0</v>
      </c>
    </row>
    <row r="117" spans="1:245" x14ac:dyDescent="0.2">
      <c r="A117" s="4">
        <v>50</v>
      </c>
      <c r="B117" s="4">
        <v>0</v>
      </c>
      <c r="C117" s="4">
        <v>0</v>
      </c>
      <c r="D117" s="4">
        <v>1</v>
      </c>
      <c r="E117" s="4">
        <v>201</v>
      </c>
      <c r="F117" s="4">
        <f>ROUND(Source!O115,O117)</f>
        <v>2843.38</v>
      </c>
      <c r="G117" s="4" t="s">
        <v>73</v>
      </c>
      <c r="H117" s="4" t="s">
        <v>74</v>
      </c>
      <c r="I117" s="4"/>
      <c r="J117" s="4"/>
      <c r="K117" s="4">
        <v>201</v>
      </c>
      <c r="L117" s="4">
        <v>1</v>
      </c>
      <c r="M117" s="4">
        <v>3</v>
      </c>
      <c r="N117" s="4" t="s">
        <v>3</v>
      </c>
      <c r="O117" s="4">
        <v>2</v>
      </c>
      <c r="P117" s="4"/>
      <c r="Q117" s="4"/>
      <c r="R117" s="4"/>
      <c r="S117" s="4"/>
      <c r="T117" s="4"/>
      <c r="U117" s="4"/>
      <c r="V117" s="4"/>
      <c r="W117" s="4"/>
    </row>
    <row r="118" spans="1:245" x14ac:dyDescent="0.2">
      <c r="A118" s="4">
        <v>50</v>
      </c>
      <c r="B118" s="4">
        <v>0</v>
      </c>
      <c r="C118" s="4">
        <v>0</v>
      </c>
      <c r="D118" s="4">
        <v>1</v>
      </c>
      <c r="E118" s="4">
        <v>202</v>
      </c>
      <c r="F118" s="4">
        <f>ROUND(Source!P115,O118)</f>
        <v>0</v>
      </c>
      <c r="G118" s="4" t="s">
        <v>75</v>
      </c>
      <c r="H118" s="4" t="s">
        <v>76</v>
      </c>
      <c r="I118" s="4"/>
      <c r="J118" s="4"/>
      <c r="K118" s="4">
        <v>202</v>
      </c>
      <c r="L118" s="4">
        <v>2</v>
      </c>
      <c r="M118" s="4">
        <v>3</v>
      </c>
      <c r="N118" s="4" t="s">
        <v>3</v>
      </c>
      <c r="O118" s="4">
        <v>2</v>
      </c>
      <c r="P118" s="4"/>
      <c r="Q118" s="4"/>
      <c r="R118" s="4"/>
      <c r="S118" s="4"/>
      <c r="T118" s="4"/>
      <c r="U118" s="4"/>
      <c r="V118" s="4"/>
      <c r="W118" s="4"/>
    </row>
    <row r="119" spans="1:245" x14ac:dyDescent="0.2">
      <c r="A119" s="4">
        <v>50</v>
      </c>
      <c r="B119" s="4">
        <v>0</v>
      </c>
      <c r="C119" s="4">
        <v>0</v>
      </c>
      <c r="D119" s="4">
        <v>1</v>
      </c>
      <c r="E119" s="4">
        <v>222</v>
      </c>
      <c r="F119" s="4">
        <f>ROUND(Source!AO115,O119)</f>
        <v>0</v>
      </c>
      <c r="G119" s="4" t="s">
        <v>77</v>
      </c>
      <c r="H119" s="4" t="s">
        <v>78</v>
      </c>
      <c r="I119" s="4"/>
      <c r="J119" s="4"/>
      <c r="K119" s="4">
        <v>222</v>
      </c>
      <c r="L119" s="4">
        <v>3</v>
      </c>
      <c r="M119" s="4">
        <v>3</v>
      </c>
      <c r="N119" s="4" t="s">
        <v>3</v>
      </c>
      <c r="O119" s="4">
        <v>2</v>
      </c>
      <c r="P119" s="4"/>
      <c r="Q119" s="4"/>
      <c r="R119" s="4"/>
      <c r="S119" s="4"/>
      <c r="T119" s="4"/>
      <c r="U119" s="4"/>
      <c r="V119" s="4"/>
      <c r="W119" s="4"/>
    </row>
    <row r="120" spans="1:245" x14ac:dyDescent="0.2">
      <c r="A120" s="4">
        <v>50</v>
      </c>
      <c r="B120" s="4">
        <v>0</v>
      </c>
      <c r="C120" s="4">
        <v>0</v>
      </c>
      <c r="D120" s="4">
        <v>1</v>
      </c>
      <c r="E120" s="4">
        <v>225</v>
      </c>
      <c r="F120" s="4">
        <f>ROUND(Source!AV115,O120)</f>
        <v>0</v>
      </c>
      <c r="G120" s="4" t="s">
        <v>79</v>
      </c>
      <c r="H120" s="4" t="s">
        <v>80</v>
      </c>
      <c r="I120" s="4"/>
      <c r="J120" s="4"/>
      <c r="K120" s="4">
        <v>225</v>
      </c>
      <c r="L120" s="4">
        <v>4</v>
      </c>
      <c r="M120" s="4">
        <v>3</v>
      </c>
      <c r="N120" s="4" t="s">
        <v>3</v>
      </c>
      <c r="O120" s="4">
        <v>2</v>
      </c>
      <c r="P120" s="4"/>
      <c r="Q120" s="4"/>
      <c r="R120" s="4"/>
      <c r="S120" s="4"/>
      <c r="T120" s="4"/>
      <c r="U120" s="4"/>
      <c r="V120" s="4"/>
      <c r="W120" s="4"/>
    </row>
    <row r="121" spans="1:245" x14ac:dyDescent="0.2">
      <c r="A121" s="4">
        <v>50</v>
      </c>
      <c r="B121" s="4">
        <v>0</v>
      </c>
      <c r="C121" s="4">
        <v>0</v>
      </c>
      <c r="D121" s="4">
        <v>1</v>
      </c>
      <c r="E121" s="4">
        <v>226</v>
      </c>
      <c r="F121" s="4">
        <f>ROUND(Source!AW115,O121)</f>
        <v>0</v>
      </c>
      <c r="G121" s="4" t="s">
        <v>81</v>
      </c>
      <c r="H121" s="4" t="s">
        <v>82</v>
      </c>
      <c r="I121" s="4"/>
      <c r="J121" s="4"/>
      <c r="K121" s="4">
        <v>226</v>
      </c>
      <c r="L121" s="4">
        <v>5</v>
      </c>
      <c r="M121" s="4">
        <v>3</v>
      </c>
      <c r="N121" s="4" t="s">
        <v>3</v>
      </c>
      <c r="O121" s="4">
        <v>2</v>
      </c>
      <c r="P121" s="4"/>
      <c r="Q121" s="4"/>
      <c r="R121" s="4"/>
      <c r="S121" s="4"/>
      <c r="T121" s="4"/>
      <c r="U121" s="4"/>
      <c r="V121" s="4"/>
      <c r="W121" s="4"/>
    </row>
    <row r="122" spans="1:245" x14ac:dyDescent="0.2">
      <c r="A122" s="4">
        <v>50</v>
      </c>
      <c r="B122" s="4">
        <v>0</v>
      </c>
      <c r="C122" s="4">
        <v>0</v>
      </c>
      <c r="D122" s="4">
        <v>1</v>
      </c>
      <c r="E122" s="4">
        <v>227</v>
      </c>
      <c r="F122" s="4">
        <f>ROUND(Source!AX115,O122)</f>
        <v>0</v>
      </c>
      <c r="G122" s="4" t="s">
        <v>83</v>
      </c>
      <c r="H122" s="4" t="s">
        <v>84</v>
      </c>
      <c r="I122" s="4"/>
      <c r="J122" s="4"/>
      <c r="K122" s="4">
        <v>227</v>
      </c>
      <c r="L122" s="4">
        <v>6</v>
      </c>
      <c r="M122" s="4">
        <v>3</v>
      </c>
      <c r="N122" s="4" t="s">
        <v>3</v>
      </c>
      <c r="O122" s="4">
        <v>2</v>
      </c>
      <c r="P122" s="4"/>
      <c r="Q122" s="4"/>
      <c r="R122" s="4"/>
      <c r="S122" s="4"/>
      <c r="T122" s="4"/>
      <c r="U122" s="4"/>
      <c r="V122" s="4"/>
      <c r="W122" s="4"/>
    </row>
    <row r="123" spans="1:245" x14ac:dyDescent="0.2">
      <c r="A123" s="4">
        <v>50</v>
      </c>
      <c r="B123" s="4">
        <v>0</v>
      </c>
      <c r="C123" s="4">
        <v>0</v>
      </c>
      <c r="D123" s="4">
        <v>1</v>
      </c>
      <c r="E123" s="4">
        <v>228</v>
      </c>
      <c r="F123" s="4">
        <f>ROUND(Source!AY115,O123)</f>
        <v>0</v>
      </c>
      <c r="G123" s="4" t="s">
        <v>85</v>
      </c>
      <c r="H123" s="4" t="s">
        <v>86</v>
      </c>
      <c r="I123" s="4"/>
      <c r="J123" s="4"/>
      <c r="K123" s="4">
        <v>228</v>
      </c>
      <c r="L123" s="4">
        <v>7</v>
      </c>
      <c r="M123" s="4">
        <v>3</v>
      </c>
      <c r="N123" s="4" t="s">
        <v>3</v>
      </c>
      <c r="O123" s="4">
        <v>2</v>
      </c>
      <c r="P123" s="4"/>
      <c r="Q123" s="4"/>
      <c r="R123" s="4"/>
      <c r="S123" s="4"/>
      <c r="T123" s="4"/>
      <c r="U123" s="4"/>
      <c r="V123" s="4"/>
      <c r="W123" s="4"/>
    </row>
    <row r="124" spans="1:245" x14ac:dyDescent="0.2">
      <c r="A124" s="4">
        <v>50</v>
      </c>
      <c r="B124" s="4">
        <v>0</v>
      </c>
      <c r="C124" s="4">
        <v>0</v>
      </c>
      <c r="D124" s="4">
        <v>1</v>
      </c>
      <c r="E124" s="4">
        <v>216</v>
      </c>
      <c r="F124" s="4">
        <f>ROUND(Source!AP115,O124)</f>
        <v>0</v>
      </c>
      <c r="G124" s="4" t="s">
        <v>87</v>
      </c>
      <c r="H124" s="4" t="s">
        <v>88</v>
      </c>
      <c r="I124" s="4"/>
      <c r="J124" s="4"/>
      <c r="K124" s="4">
        <v>216</v>
      </c>
      <c r="L124" s="4">
        <v>8</v>
      </c>
      <c r="M124" s="4">
        <v>3</v>
      </c>
      <c r="N124" s="4" t="s">
        <v>3</v>
      </c>
      <c r="O124" s="4">
        <v>2</v>
      </c>
      <c r="P124" s="4"/>
      <c r="Q124" s="4"/>
      <c r="R124" s="4"/>
      <c r="S124" s="4"/>
      <c r="T124" s="4"/>
      <c r="U124" s="4"/>
      <c r="V124" s="4"/>
      <c r="W124" s="4"/>
    </row>
    <row r="125" spans="1:245" x14ac:dyDescent="0.2">
      <c r="A125" s="4">
        <v>50</v>
      </c>
      <c r="B125" s="4">
        <v>0</v>
      </c>
      <c r="C125" s="4">
        <v>0</v>
      </c>
      <c r="D125" s="4">
        <v>1</v>
      </c>
      <c r="E125" s="4">
        <v>223</v>
      </c>
      <c r="F125" s="4">
        <f>ROUND(Source!AQ115,O125)</f>
        <v>0</v>
      </c>
      <c r="G125" s="4" t="s">
        <v>89</v>
      </c>
      <c r="H125" s="4" t="s">
        <v>90</v>
      </c>
      <c r="I125" s="4"/>
      <c r="J125" s="4"/>
      <c r="K125" s="4">
        <v>223</v>
      </c>
      <c r="L125" s="4">
        <v>9</v>
      </c>
      <c r="M125" s="4">
        <v>3</v>
      </c>
      <c r="N125" s="4" t="s">
        <v>3</v>
      </c>
      <c r="O125" s="4">
        <v>2</v>
      </c>
      <c r="P125" s="4"/>
      <c r="Q125" s="4"/>
      <c r="R125" s="4"/>
      <c r="S125" s="4"/>
      <c r="T125" s="4"/>
      <c r="U125" s="4"/>
      <c r="V125" s="4"/>
      <c r="W125" s="4"/>
    </row>
    <row r="126" spans="1:245" x14ac:dyDescent="0.2">
      <c r="A126" s="4">
        <v>50</v>
      </c>
      <c r="B126" s="4">
        <v>0</v>
      </c>
      <c r="C126" s="4">
        <v>0</v>
      </c>
      <c r="D126" s="4">
        <v>1</v>
      </c>
      <c r="E126" s="4">
        <v>229</v>
      </c>
      <c r="F126" s="4">
        <f>ROUND(Source!AZ115,O126)</f>
        <v>0</v>
      </c>
      <c r="G126" s="4" t="s">
        <v>91</v>
      </c>
      <c r="H126" s="4" t="s">
        <v>92</v>
      </c>
      <c r="I126" s="4"/>
      <c r="J126" s="4"/>
      <c r="K126" s="4">
        <v>229</v>
      </c>
      <c r="L126" s="4">
        <v>10</v>
      </c>
      <c r="M126" s="4">
        <v>3</v>
      </c>
      <c r="N126" s="4" t="s">
        <v>3</v>
      </c>
      <c r="O126" s="4">
        <v>2</v>
      </c>
      <c r="P126" s="4"/>
      <c r="Q126" s="4"/>
      <c r="R126" s="4"/>
      <c r="S126" s="4"/>
      <c r="T126" s="4"/>
      <c r="U126" s="4"/>
      <c r="V126" s="4"/>
      <c r="W126" s="4"/>
    </row>
    <row r="127" spans="1:245" x14ac:dyDescent="0.2">
      <c r="A127" s="4">
        <v>50</v>
      </c>
      <c r="B127" s="4">
        <v>0</v>
      </c>
      <c r="C127" s="4">
        <v>0</v>
      </c>
      <c r="D127" s="4">
        <v>1</v>
      </c>
      <c r="E127" s="4">
        <v>203</v>
      </c>
      <c r="F127" s="4">
        <f>ROUND(Source!Q115,O127)</f>
        <v>0</v>
      </c>
      <c r="G127" s="4" t="s">
        <v>93</v>
      </c>
      <c r="H127" s="4" t="s">
        <v>94</v>
      </c>
      <c r="I127" s="4"/>
      <c r="J127" s="4"/>
      <c r="K127" s="4">
        <v>203</v>
      </c>
      <c r="L127" s="4">
        <v>11</v>
      </c>
      <c r="M127" s="4">
        <v>3</v>
      </c>
      <c r="N127" s="4" t="s">
        <v>3</v>
      </c>
      <c r="O127" s="4">
        <v>2</v>
      </c>
      <c r="P127" s="4"/>
      <c r="Q127" s="4"/>
      <c r="R127" s="4"/>
      <c r="S127" s="4"/>
      <c r="T127" s="4"/>
      <c r="U127" s="4"/>
      <c r="V127" s="4"/>
      <c r="W127" s="4"/>
    </row>
    <row r="128" spans="1:245" x14ac:dyDescent="0.2">
      <c r="A128" s="4">
        <v>50</v>
      </c>
      <c r="B128" s="4">
        <v>0</v>
      </c>
      <c r="C128" s="4">
        <v>0</v>
      </c>
      <c r="D128" s="4">
        <v>1</v>
      </c>
      <c r="E128" s="4">
        <v>231</v>
      </c>
      <c r="F128" s="4">
        <f>ROUND(Source!BB115,O128)</f>
        <v>0</v>
      </c>
      <c r="G128" s="4" t="s">
        <v>95</v>
      </c>
      <c r="H128" s="4" t="s">
        <v>96</v>
      </c>
      <c r="I128" s="4"/>
      <c r="J128" s="4"/>
      <c r="K128" s="4">
        <v>231</v>
      </c>
      <c r="L128" s="4">
        <v>12</v>
      </c>
      <c r="M128" s="4">
        <v>3</v>
      </c>
      <c r="N128" s="4" t="s">
        <v>3</v>
      </c>
      <c r="O128" s="4">
        <v>2</v>
      </c>
      <c r="P128" s="4"/>
      <c r="Q128" s="4"/>
      <c r="R128" s="4"/>
      <c r="S128" s="4"/>
      <c r="T128" s="4"/>
      <c r="U128" s="4"/>
      <c r="V128" s="4"/>
      <c r="W128" s="4"/>
    </row>
    <row r="129" spans="1:23" x14ac:dyDescent="0.2">
      <c r="A129" s="4">
        <v>50</v>
      </c>
      <c r="B129" s="4">
        <v>0</v>
      </c>
      <c r="C129" s="4">
        <v>0</v>
      </c>
      <c r="D129" s="4">
        <v>1</v>
      </c>
      <c r="E129" s="4">
        <v>204</v>
      </c>
      <c r="F129" s="4">
        <f>ROUND(Source!R115,O129)</f>
        <v>0</v>
      </c>
      <c r="G129" s="4" t="s">
        <v>97</v>
      </c>
      <c r="H129" s="4" t="s">
        <v>98</v>
      </c>
      <c r="I129" s="4"/>
      <c r="J129" s="4"/>
      <c r="K129" s="4">
        <v>204</v>
      </c>
      <c r="L129" s="4">
        <v>13</v>
      </c>
      <c r="M129" s="4">
        <v>3</v>
      </c>
      <c r="N129" s="4" t="s">
        <v>3</v>
      </c>
      <c r="O129" s="4">
        <v>2</v>
      </c>
      <c r="P129" s="4"/>
      <c r="Q129" s="4"/>
      <c r="R129" s="4"/>
      <c r="S129" s="4"/>
      <c r="T129" s="4"/>
      <c r="U129" s="4"/>
      <c r="V129" s="4"/>
      <c r="W129" s="4"/>
    </row>
    <row r="130" spans="1:23" x14ac:dyDescent="0.2">
      <c r="A130" s="4">
        <v>50</v>
      </c>
      <c r="B130" s="4">
        <v>0</v>
      </c>
      <c r="C130" s="4">
        <v>0</v>
      </c>
      <c r="D130" s="4">
        <v>1</v>
      </c>
      <c r="E130" s="4">
        <v>205</v>
      </c>
      <c r="F130" s="4">
        <f>ROUND(Source!S115,O130)</f>
        <v>2843.38</v>
      </c>
      <c r="G130" s="4" t="s">
        <v>99</v>
      </c>
      <c r="H130" s="4" t="s">
        <v>100</v>
      </c>
      <c r="I130" s="4"/>
      <c r="J130" s="4"/>
      <c r="K130" s="4">
        <v>205</v>
      </c>
      <c r="L130" s="4">
        <v>14</v>
      </c>
      <c r="M130" s="4">
        <v>3</v>
      </c>
      <c r="N130" s="4" t="s">
        <v>3</v>
      </c>
      <c r="O130" s="4">
        <v>2</v>
      </c>
      <c r="P130" s="4"/>
      <c r="Q130" s="4"/>
      <c r="R130" s="4"/>
      <c r="S130" s="4"/>
      <c r="T130" s="4"/>
      <c r="U130" s="4"/>
      <c r="V130" s="4"/>
      <c r="W130" s="4"/>
    </row>
    <row r="131" spans="1:23" x14ac:dyDescent="0.2">
      <c r="A131" s="4">
        <v>50</v>
      </c>
      <c r="B131" s="4">
        <v>0</v>
      </c>
      <c r="C131" s="4">
        <v>0</v>
      </c>
      <c r="D131" s="4">
        <v>1</v>
      </c>
      <c r="E131" s="4">
        <v>232</v>
      </c>
      <c r="F131" s="4">
        <f>ROUND(Source!BC115,O131)</f>
        <v>0</v>
      </c>
      <c r="G131" s="4" t="s">
        <v>101</v>
      </c>
      <c r="H131" s="4" t="s">
        <v>102</v>
      </c>
      <c r="I131" s="4"/>
      <c r="J131" s="4"/>
      <c r="K131" s="4">
        <v>232</v>
      </c>
      <c r="L131" s="4">
        <v>15</v>
      </c>
      <c r="M131" s="4">
        <v>3</v>
      </c>
      <c r="N131" s="4" t="s">
        <v>3</v>
      </c>
      <c r="O131" s="4">
        <v>2</v>
      </c>
      <c r="P131" s="4"/>
      <c r="Q131" s="4"/>
      <c r="R131" s="4"/>
      <c r="S131" s="4"/>
      <c r="T131" s="4"/>
      <c r="U131" s="4"/>
      <c r="V131" s="4"/>
      <c r="W131" s="4"/>
    </row>
    <row r="132" spans="1:23" x14ac:dyDescent="0.2">
      <c r="A132" s="4">
        <v>50</v>
      </c>
      <c r="B132" s="4">
        <v>0</v>
      </c>
      <c r="C132" s="4">
        <v>0</v>
      </c>
      <c r="D132" s="4">
        <v>1</v>
      </c>
      <c r="E132" s="4">
        <v>214</v>
      </c>
      <c r="F132" s="4">
        <f>ROUND(Source!AS115,O132)</f>
        <v>0</v>
      </c>
      <c r="G132" s="4" t="s">
        <v>103</v>
      </c>
      <c r="H132" s="4" t="s">
        <v>104</v>
      </c>
      <c r="I132" s="4"/>
      <c r="J132" s="4"/>
      <c r="K132" s="4">
        <v>214</v>
      </c>
      <c r="L132" s="4">
        <v>16</v>
      </c>
      <c r="M132" s="4">
        <v>3</v>
      </c>
      <c r="N132" s="4" t="s">
        <v>3</v>
      </c>
      <c r="O132" s="4">
        <v>2</v>
      </c>
      <c r="P132" s="4"/>
      <c r="Q132" s="4"/>
      <c r="R132" s="4"/>
      <c r="S132" s="4"/>
      <c r="T132" s="4"/>
      <c r="U132" s="4"/>
      <c r="V132" s="4"/>
      <c r="W132" s="4"/>
    </row>
    <row r="133" spans="1:23" x14ac:dyDescent="0.2">
      <c r="A133" s="4">
        <v>50</v>
      </c>
      <c r="B133" s="4">
        <v>0</v>
      </c>
      <c r="C133" s="4">
        <v>0</v>
      </c>
      <c r="D133" s="4">
        <v>1</v>
      </c>
      <c r="E133" s="4">
        <v>215</v>
      </c>
      <c r="F133" s="4">
        <f>ROUND(Source!AT115,O133)</f>
        <v>0</v>
      </c>
      <c r="G133" s="4" t="s">
        <v>105</v>
      </c>
      <c r="H133" s="4" t="s">
        <v>106</v>
      </c>
      <c r="I133" s="4"/>
      <c r="J133" s="4"/>
      <c r="K133" s="4">
        <v>215</v>
      </c>
      <c r="L133" s="4">
        <v>17</v>
      </c>
      <c r="M133" s="4">
        <v>3</v>
      </c>
      <c r="N133" s="4" t="s">
        <v>3</v>
      </c>
      <c r="O133" s="4">
        <v>2</v>
      </c>
      <c r="P133" s="4"/>
      <c r="Q133" s="4"/>
      <c r="R133" s="4"/>
      <c r="S133" s="4"/>
      <c r="T133" s="4"/>
      <c r="U133" s="4"/>
      <c r="V133" s="4"/>
      <c r="W133" s="4"/>
    </row>
    <row r="134" spans="1:23" x14ac:dyDescent="0.2">
      <c r="A134" s="4">
        <v>50</v>
      </c>
      <c r="B134" s="4">
        <v>0</v>
      </c>
      <c r="C134" s="4">
        <v>0</v>
      </c>
      <c r="D134" s="4">
        <v>1</v>
      </c>
      <c r="E134" s="4">
        <v>217</v>
      </c>
      <c r="F134" s="4">
        <f>ROUND(Source!AU115,O134)</f>
        <v>5942.67</v>
      </c>
      <c r="G134" s="4" t="s">
        <v>107</v>
      </c>
      <c r="H134" s="4" t="s">
        <v>108</v>
      </c>
      <c r="I134" s="4"/>
      <c r="J134" s="4"/>
      <c r="K134" s="4">
        <v>217</v>
      </c>
      <c r="L134" s="4">
        <v>18</v>
      </c>
      <c r="M134" s="4">
        <v>3</v>
      </c>
      <c r="N134" s="4" t="s">
        <v>3</v>
      </c>
      <c r="O134" s="4">
        <v>2</v>
      </c>
      <c r="P134" s="4"/>
      <c r="Q134" s="4"/>
      <c r="R134" s="4"/>
      <c r="S134" s="4"/>
      <c r="T134" s="4"/>
      <c r="U134" s="4"/>
      <c r="V134" s="4"/>
      <c r="W134" s="4"/>
    </row>
    <row r="135" spans="1:23" x14ac:dyDescent="0.2">
      <c r="A135" s="4">
        <v>50</v>
      </c>
      <c r="B135" s="4">
        <v>0</v>
      </c>
      <c r="C135" s="4">
        <v>0</v>
      </c>
      <c r="D135" s="4">
        <v>1</v>
      </c>
      <c r="E135" s="4">
        <v>230</v>
      </c>
      <c r="F135" s="4">
        <f>ROUND(Source!BA115,O135)</f>
        <v>0</v>
      </c>
      <c r="G135" s="4" t="s">
        <v>109</v>
      </c>
      <c r="H135" s="4" t="s">
        <v>110</v>
      </c>
      <c r="I135" s="4"/>
      <c r="J135" s="4"/>
      <c r="K135" s="4">
        <v>230</v>
      </c>
      <c r="L135" s="4">
        <v>19</v>
      </c>
      <c r="M135" s="4">
        <v>3</v>
      </c>
      <c r="N135" s="4" t="s">
        <v>3</v>
      </c>
      <c r="O135" s="4">
        <v>2</v>
      </c>
      <c r="P135" s="4"/>
      <c r="Q135" s="4"/>
      <c r="R135" s="4"/>
      <c r="S135" s="4"/>
      <c r="T135" s="4"/>
      <c r="U135" s="4"/>
      <c r="V135" s="4"/>
      <c r="W135" s="4"/>
    </row>
    <row r="136" spans="1:23" x14ac:dyDescent="0.2">
      <c r="A136" s="4">
        <v>50</v>
      </c>
      <c r="B136" s="4">
        <v>0</v>
      </c>
      <c r="C136" s="4">
        <v>0</v>
      </c>
      <c r="D136" s="4">
        <v>1</v>
      </c>
      <c r="E136" s="4">
        <v>206</v>
      </c>
      <c r="F136" s="4">
        <f>ROUND(Source!T115,O136)</f>
        <v>0</v>
      </c>
      <c r="G136" s="4" t="s">
        <v>111</v>
      </c>
      <c r="H136" s="4" t="s">
        <v>112</v>
      </c>
      <c r="I136" s="4"/>
      <c r="J136" s="4"/>
      <c r="K136" s="4">
        <v>206</v>
      </c>
      <c r="L136" s="4">
        <v>20</v>
      </c>
      <c r="M136" s="4">
        <v>3</v>
      </c>
      <c r="N136" s="4" t="s">
        <v>3</v>
      </c>
      <c r="O136" s="4">
        <v>2</v>
      </c>
      <c r="P136" s="4"/>
      <c r="Q136" s="4"/>
      <c r="R136" s="4"/>
      <c r="S136" s="4"/>
      <c r="T136" s="4"/>
      <c r="U136" s="4"/>
      <c r="V136" s="4"/>
      <c r="W136" s="4"/>
    </row>
    <row r="137" spans="1:23" x14ac:dyDescent="0.2">
      <c r="A137" s="4">
        <v>50</v>
      </c>
      <c r="B137" s="4">
        <v>0</v>
      </c>
      <c r="C137" s="4">
        <v>0</v>
      </c>
      <c r="D137" s="4">
        <v>1</v>
      </c>
      <c r="E137" s="4">
        <v>207</v>
      </c>
      <c r="F137" s="4">
        <f>Source!U115</f>
        <v>7.2384000000000004</v>
      </c>
      <c r="G137" s="4" t="s">
        <v>113</v>
      </c>
      <c r="H137" s="4" t="s">
        <v>114</v>
      </c>
      <c r="I137" s="4"/>
      <c r="J137" s="4"/>
      <c r="K137" s="4">
        <v>207</v>
      </c>
      <c r="L137" s="4">
        <v>21</v>
      </c>
      <c r="M137" s="4">
        <v>3</v>
      </c>
      <c r="N137" s="4" t="s">
        <v>3</v>
      </c>
      <c r="O137" s="4">
        <v>-1</v>
      </c>
      <c r="P137" s="4"/>
      <c r="Q137" s="4"/>
      <c r="R137" s="4"/>
      <c r="S137" s="4"/>
      <c r="T137" s="4"/>
      <c r="U137" s="4"/>
      <c r="V137" s="4"/>
      <c r="W137" s="4"/>
    </row>
    <row r="138" spans="1:23" x14ac:dyDescent="0.2">
      <c r="A138" s="4">
        <v>50</v>
      </c>
      <c r="B138" s="4">
        <v>0</v>
      </c>
      <c r="C138" s="4">
        <v>0</v>
      </c>
      <c r="D138" s="4">
        <v>1</v>
      </c>
      <c r="E138" s="4">
        <v>208</v>
      </c>
      <c r="F138" s="4">
        <f>Source!V115</f>
        <v>0</v>
      </c>
      <c r="G138" s="4" t="s">
        <v>115</v>
      </c>
      <c r="H138" s="4" t="s">
        <v>116</v>
      </c>
      <c r="I138" s="4"/>
      <c r="J138" s="4"/>
      <c r="K138" s="4">
        <v>208</v>
      </c>
      <c r="L138" s="4">
        <v>22</v>
      </c>
      <c r="M138" s="4">
        <v>3</v>
      </c>
      <c r="N138" s="4" t="s">
        <v>3</v>
      </c>
      <c r="O138" s="4">
        <v>-1</v>
      </c>
      <c r="P138" s="4"/>
      <c r="Q138" s="4"/>
      <c r="R138" s="4"/>
      <c r="S138" s="4"/>
      <c r="T138" s="4"/>
      <c r="U138" s="4"/>
      <c r="V138" s="4"/>
      <c r="W138" s="4"/>
    </row>
    <row r="139" spans="1:23" x14ac:dyDescent="0.2">
      <c r="A139" s="4">
        <v>50</v>
      </c>
      <c r="B139" s="4">
        <v>0</v>
      </c>
      <c r="C139" s="4">
        <v>0</v>
      </c>
      <c r="D139" s="4">
        <v>1</v>
      </c>
      <c r="E139" s="4">
        <v>209</v>
      </c>
      <c r="F139" s="4">
        <f>ROUND(Source!W115,O139)</f>
        <v>0</v>
      </c>
      <c r="G139" s="4" t="s">
        <v>117</v>
      </c>
      <c r="H139" s="4" t="s">
        <v>118</v>
      </c>
      <c r="I139" s="4"/>
      <c r="J139" s="4"/>
      <c r="K139" s="4">
        <v>209</v>
      </c>
      <c r="L139" s="4">
        <v>23</v>
      </c>
      <c r="M139" s="4">
        <v>3</v>
      </c>
      <c r="N139" s="4" t="s">
        <v>3</v>
      </c>
      <c r="O139" s="4">
        <v>2</v>
      </c>
      <c r="P139" s="4"/>
      <c r="Q139" s="4"/>
      <c r="R139" s="4"/>
      <c r="S139" s="4"/>
      <c r="T139" s="4"/>
      <c r="U139" s="4"/>
      <c r="V139" s="4"/>
      <c r="W139" s="4"/>
    </row>
    <row r="140" spans="1:23" x14ac:dyDescent="0.2">
      <c r="A140" s="4">
        <v>50</v>
      </c>
      <c r="B140" s="4">
        <v>0</v>
      </c>
      <c r="C140" s="4">
        <v>0</v>
      </c>
      <c r="D140" s="4">
        <v>1</v>
      </c>
      <c r="E140" s="4">
        <v>233</v>
      </c>
      <c r="F140" s="4">
        <f>ROUND(Source!BD115,O140)</f>
        <v>0</v>
      </c>
      <c r="G140" s="4" t="s">
        <v>119</v>
      </c>
      <c r="H140" s="4" t="s">
        <v>120</v>
      </c>
      <c r="I140" s="4"/>
      <c r="J140" s="4"/>
      <c r="K140" s="4">
        <v>233</v>
      </c>
      <c r="L140" s="4">
        <v>24</v>
      </c>
      <c r="M140" s="4">
        <v>3</v>
      </c>
      <c r="N140" s="4" t="s">
        <v>3</v>
      </c>
      <c r="O140" s="4">
        <v>2</v>
      </c>
      <c r="P140" s="4"/>
      <c r="Q140" s="4"/>
      <c r="R140" s="4"/>
      <c r="S140" s="4"/>
      <c r="T140" s="4"/>
      <c r="U140" s="4"/>
      <c r="V140" s="4"/>
      <c r="W140" s="4"/>
    </row>
    <row r="141" spans="1:23" x14ac:dyDescent="0.2">
      <c r="A141" s="4">
        <v>50</v>
      </c>
      <c r="B141" s="4">
        <v>0</v>
      </c>
      <c r="C141" s="4">
        <v>0</v>
      </c>
      <c r="D141" s="4">
        <v>1</v>
      </c>
      <c r="E141" s="4">
        <v>210</v>
      </c>
      <c r="F141" s="4">
        <f>ROUND(Source!X115,O141)</f>
        <v>1933.5</v>
      </c>
      <c r="G141" s="4" t="s">
        <v>121</v>
      </c>
      <c r="H141" s="4" t="s">
        <v>122</v>
      </c>
      <c r="I141" s="4"/>
      <c r="J141" s="4"/>
      <c r="K141" s="4">
        <v>210</v>
      </c>
      <c r="L141" s="4">
        <v>25</v>
      </c>
      <c r="M141" s="4">
        <v>3</v>
      </c>
      <c r="N141" s="4" t="s">
        <v>3</v>
      </c>
      <c r="O141" s="4">
        <v>2</v>
      </c>
      <c r="P141" s="4"/>
      <c r="Q141" s="4"/>
      <c r="R141" s="4"/>
      <c r="S141" s="4"/>
      <c r="T141" s="4"/>
      <c r="U141" s="4"/>
      <c r="V141" s="4"/>
      <c r="W141" s="4"/>
    </row>
    <row r="142" spans="1:23" x14ac:dyDescent="0.2">
      <c r="A142" s="4">
        <v>50</v>
      </c>
      <c r="B142" s="4">
        <v>0</v>
      </c>
      <c r="C142" s="4">
        <v>0</v>
      </c>
      <c r="D142" s="4">
        <v>1</v>
      </c>
      <c r="E142" s="4">
        <v>211</v>
      </c>
      <c r="F142" s="4">
        <f>ROUND(Source!Y115,O142)</f>
        <v>1165.79</v>
      </c>
      <c r="G142" s="4" t="s">
        <v>123</v>
      </c>
      <c r="H142" s="4" t="s">
        <v>124</v>
      </c>
      <c r="I142" s="4"/>
      <c r="J142" s="4"/>
      <c r="K142" s="4">
        <v>211</v>
      </c>
      <c r="L142" s="4">
        <v>26</v>
      </c>
      <c r="M142" s="4">
        <v>3</v>
      </c>
      <c r="N142" s="4" t="s">
        <v>3</v>
      </c>
      <c r="O142" s="4">
        <v>2</v>
      </c>
      <c r="P142" s="4"/>
      <c r="Q142" s="4"/>
      <c r="R142" s="4"/>
      <c r="S142" s="4"/>
      <c r="T142" s="4"/>
      <c r="U142" s="4"/>
      <c r="V142" s="4"/>
      <c r="W142" s="4"/>
    </row>
    <row r="143" spans="1:23" x14ac:dyDescent="0.2">
      <c r="A143" s="4">
        <v>50</v>
      </c>
      <c r="B143" s="4">
        <v>0</v>
      </c>
      <c r="C143" s="4">
        <v>0</v>
      </c>
      <c r="D143" s="4">
        <v>1</v>
      </c>
      <c r="E143" s="4">
        <v>224</v>
      </c>
      <c r="F143" s="4">
        <f>ROUND(Source!AR115,O143)</f>
        <v>5942.67</v>
      </c>
      <c r="G143" s="4" t="s">
        <v>125</v>
      </c>
      <c r="H143" s="4" t="s">
        <v>126</v>
      </c>
      <c r="I143" s="4"/>
      <c r="J143" s="4"/>
      <c r="K143" s="4">
        <v>224</v>
      </c>
      <c r="L143" s="4">
        <v>27</v>
      </c>
      <c r="M143" s="4">
        <v>3</v>
      </c>
      <c r="N143" s="4" t="s">
        <v>3</v>
      </c>
      <c r="O143" s="4">
        <v>2</v>
      </c>
      <c r="P143" s="4"/>
      <c r="Q143" s="4"/>
      <c r="R143" s="4"/>
      <c r="S143" s="4"/>
      <c r="T143" s="4"/>
      <c r="U143" s="4"/>
      <c r="V143" s="4"/>
      <c r="W143" s="4"/>
    </row>
    <row r="145" spans="1:245" x14ac:dyDescent="0.2">
      <c r="A145" s="1">
        <v>4</v>
      </c>
      <c r="B145" s="1">
        <v>1</v>
      </c>
      <c r="C145" s="1"/>
      <c r="D145" s="1">
        <f>ROW(A154)</f>
        <v>154</v>
      </c>
      <c r="E145" s="1"/>
      <c r="F145" s="1" t="s">
        <v>21</v>
      </c>
      <c r="G145" s="1" t="s">
        <v>171</v>
      </c>
      <c r="H145" s="1" t="s">
        <v>3</v>
      </c>
      <c r="I145" s="1">
        <v>0</v>
      </c>
      <c r="J145" s="1"/>
      <c r="K145" s="1">
        <v>-1</v>
      </c>
      <c r="L145" s="1"/>
      <c r="M145" s="1" t="s">
        <v>3</v>
      </c>
      <c r="N145" s="1"/>
      <c r="O145" s="1"/>
      <c r="P145" s="1"/>
      <c r="Q145" s="1"/>
      <c r="R145" s="1"/>
      <c r="S145" s="1">
        <v>0</v>
      </c>
      <c r="T145" s="1"/>
      <c r="U145" s="1" t="s">
        <v>3</v>
      </c>
      <c r="V145" s="1">
        <v>0</v>
      </c>
      <c r="W145" s="1"/>
      <c r="X145" s="1"/>
      <c r="Y145" s="1"/>
      <c r="Z145" s="1"/>
      <c r="AA145" s="1"/>
      <c r="AB145" s="1" t="s">
        <v>3</v>
      </c>
      <c r="AC145" s="1" t="s">
        <v>3</v>
      </c>
      <c r="AD145" s="1" t="s">
        <v>3</v>
      </c>
      <c r="AE145" s="1" t="s">
        <v>3</v>
      </c>
      <c r="AF145" s="1" t="s">
        <v>3</v>
      </c>
      <c r="AG145" s="1" t="s">
        <v>3</v>
      </c>
      <c r="AH145" s="1"/>
      <c r="AI145" s="1"/>
      <c r="AJ145" s="1"/>
      <c r="AK145" s="1"/>
      <c r="AL145" s="1"/>
      <c r="AM145" s="1"/>
      <c r="AN145" s="1"/>
      <c r="AO145" s="1"/>
      <c r="AP145" s="1" t="s">
        <v>3</v>
      </c>
      <c r="AQ145" s="1" t="s">
        <v>3</v>
      </c>
      <c r="AR145" s="1" t="s">
        <v>3</v>
      </c>
      <c r="AS145" s="1"/>
      <c r="AT145" s="1"/>
      <c r="AU145" s="1"/>
      <c r="AV145" s="1"/>
      <c r="AW145" s="1"/>
      <c r="AX145" s="1"/>
      <c r="AY145" s="1"/>
      <c r="AZ145" s="1" t="s">
        <v>3</v>
      </c>
      <c r="BA145" s="1"/>
      <c r="BB145" s="1" t="s">
        <v>3</v>
      </c>
      <c r="BC145" s="1" t="s">
        <v>3</v>
      </c>
      <c r="BD145" s="1" t="s">
        <v>3</v>
      </c>
      <c r="BE145" s="1" t="s">
        <v>3</v>
      </c>
      <c r="BF145" s="1" t="s">
        <v>3</v>
      </c>
      <c r="BG145" s="1" t="s">
        <v>3</v>
      </c>
      <c r="BH145" s="1" t="s">
        <v>3</v>
      </c>
      <c r="BI145" s="1" t="s">
        <v>3</v>
      </c>
      <c r="BJ145" s="1" t="s">
        <v>3</v>
      </c>
      <c r="BK145" s="1" t="s">
        <v>3</v>
      </c>
      <c r="BL145" s="1" t="s">
        <v>3</v>
      </c>
      <c r="BM145" s="1" t="s">
        <v>3</v>
      </c>
      <c r="BN145" s="1" t="s">
        <v>3</v>
      </c>
      <c r="BO145" s="1" t="s">
        <v>3</v>
      </c>
      <c r="BP145" s="1" t="s">
        <v>3</v>
      </c>
      <c r="BQ145" s="1"/>
      <c r="BR145" s="1"/>
      <c r="BS145" s="1"/>
      <c r="BT145" s="1"/>
      <c r="BU145" s="1"/>
      <c r="BV145" s="1"/>
      <c r="BW145" s="1"/>
      <c r="BX145" s="1">
        <v>0</v>
      </c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>
        <v>0</v>
      </c>
    </row>
    <row r="147" spans="1:245" x14ac:dyDescent="0.2">
      <c r="A147" s="2">
        <v>52</v>
      </c>
      <c r="B147" s="2">
        <f t="shared" ref="B147:G147" si="83">B154</f>
        <v>1</v>
      </c>
      <c r="C147" s="2">
        <f t="shared" si="83"/>
        <v>4</v>
      </c>
      <c r="D147" s="2">
        <f t="shared" si="83"/>
        <v>145</v>
      </c>
      <c r="E147" s="2">
        <f t="shared" si="83"/>
        <v>0</v>
      </c>
      <c r="F147" s="2" t="str">
        <f t="shared" si="83"/>
        <v>Новый раздел</v>
      </c>
      <c r="G147" s="2" t="str">
        <f t="shared" si="83"/>
        <v>Материалы, не учтенные ценником.</v>
      </c>
      <c r="H147" s="2"/>
      <c r="I147" s="2"/>
      <c r="J147" s="2"/>
      <c r="K147" s="2"/>
      <c r="L147" s="2"/>
      <c r="M147" s="2"/>
      <c r="N147" s="2"/>
      <c r="O147" s="2">
        <f t="shared" ref="O147:AT147" si="84">O154</f>
        <v>30036.87</v>
      </c>
      <c r="P147" s="2">
        <f t="shared" si="84"/>
        <v>30036.87</v>
      </c>
      <c r="Q147" s="2">
        <f t="shared" si="84"/>
        <v>0</v>
      </c>
      <c r="R147" s="2">
        <f t="shared" si="84"/>
        <v>0</v>
      </c>
      <c r="S147" s="2">
        <f t="shared" si="84"/>
        <v>0</v>
      </c>
      <c r="T147" s="2">
        <f t="shared" si="84"/>
        <v>0</v>
      </c>
      <c r="U147" s="2">
        <f t="shared" si="84"/>
        <v>0</v>
      </c>
      <c r="V147" s="2">
        <f t="shared" si="84"/>
        <v>0</v>
      </c>
      <c r="W147" s="2">
        <f t="shared" si="84"/>
        <v>0</v>
      </c>
      <c r="X147" s="2">
        <f t="shared" si="84"/>
        <v>0</v>
      </c>
      <c r="Y147" s="2">
        <f t="shared" si="84"/>
        <v>0</v>
      </c>
      <c r="Z147" s="2">
        <f t="shared" si="84"/>
        <v>0</v>
      </c>
      <c r="AA147" s="2">
        <f t="shared" si="84"/>
        <v>0</v>
      </c>
      <c r="AB147" s="2">
        <f t="shared" si="84"/>
        <v>30036.87</v>
      </c>
      <c r="AC147" s="2">
        <f t="shared" si="84"/>
        <v>30036.87</v>
      </c>
      <c r="AD147" s="2">
        <f t="shared" si="84"/>
        <v>0</v>
      </c>
      <c r="AE147" s="2">
        <f t="shared" si="84"/>
        <v>0</v>
      </c>
      <c r="AF147" s="2">
        <f t="shared" si="84"/>
        <v>0</v>
      </c>
      <c r="AG147" s="2">
        <f t="shared" si="84"/>
        <v>0</v>
      </c>
      <c r="AH147" s="2">
        <f t="shared" si="84"/>
        <v>0</v>
      </c>
      <c r="AI147" s="2">
        <f t="shared" si="84"/>
        <v>0</v>
      </c>
      <c r="AJ147" s="2">
        <f t="shared" si="84"/>
        <v>0</v>
      </c>
      <c r="AK147" s="2">
        <f t="shared" si="84"/>
        <v>0</v>
      </c>
      <c r="AL147" s="2">
        <f t="shared" si="84"/>
        <v>0</v>
      </c>
      <c r="AM147" s="2">
        <f t="shared" si="84"/>
        <v>0</v>
      </c>
      <c r="AN147" s="2">
        <f t="shared" si="84"/>
        <v>0</v>
      </c>
      <c r="AO147" s="2">
        <f t="shared" si="84"/>
        <v>0</v>
      </c>
      <c r="AP147" s="2">
        <f t="shared" si="84"/>
        <v>0</v>
      </c>
      <c r="AQ147" s="2">
        <f t="shared" si="84"/>
        <v>0</v>
      </c>
      <c r="AR147" s="2">
        <f t="shared" si="84"/>
        <v>30036.87</v>
      </c>
      <c r="AS147" s="2">
        <f t="shared" si="84"/>
        <v>5182.8900000000003</v>
      </c>
      <c r="AT147" s="2">
        <f t="shared" si="84"/>
        <v>24853.98</v>
      </c>
      <c r="AU147" s="2">
        <f t="shared" ref="AU147:BZ147" si="85">AU154</f>
        <v>0</v>
      </c>
      <c r="AV147" s="2">
        <f t="shared" si="85"/>
        <v>30036.87</v>
      </c>
      <c r="AW147" s="2">
        <f t="shared" si="85"/>
        <v>30036.87</v>
      </c>
      <c r="AX147" s="2">
        <f t="shared" si="85"/>
        <v>0</v>
      </c>
      <c r="AY147" s="2">
        <f t="shared" si="85"/>
        <v>30036.87</v>
      </c>
      <c r="AZ147" s="2">
        <f t="shared" si="85"/>
        <v>0</v>
      </c>
      <c r="BA147" s="2">
        <f t="shared" si="85"/>
        <v>0</v>
      </c>
      <c r="BB147" s="2">
        <f t="shared" si="85"/>
        <v>0</v>
      </c>
      <c r="BC147" s="2">
        <f t="shared" si="85"/>
        <v>0</v>
      </c>
      <c r="BD147" s="2">
        <f t="shared" si="85"/>
        <v>0</v>
      </c>
      <c r="BE147" s="2">
        <f t="shared" si="85"/>
        <v>0</v>
      </c>
      <c r="BF147" s="2">
        <f t="shared" si="85"/>
        <v>0</v>
      </c>
      <c r="BG147" s="2">
        <f t="shared" si="85"/>
        <v>0</v>
      </c>
      <c r="BH147" s="2">
        <f t="shared" si="85"/>
        <v>0</v>
      </c>
      <c r="BI147" s="2">
        <f t="shared" si="85"/>
        <v>0</v>
      </c>
      <c r="BJ147" s="2">
        <f t="shared" si="85"/>
        <v>0</v>
      </c>
      <c r="BK147" s="2">
        <f t="shared" si="85"/>
        <v>0</v>
      </c>
      <c r="BL147" s="2">
        <f t="shared" si="85"/>
        <v>0</v>
      </c>
      <c r="BM147" s="2">
        <f t="shared" si="85"/>
        <v>0</v>
      </c>
      <c r="BN147" s="2">
        <f t="shared" si="85"/>
        <v>0</v>
      </c>
      <c r="BO147" s="2">
        <f t="shared" si="85"/>
        <v>0</v>
      </c>
      <c r="BP147" s="2">
        <f t="shared" si="85"/>
        <v>0</v>
      </c>
      <c r="BQ147" s="2">
        <f t="shared" si="85"/>
        <v>0</v>
      </c>
      <c r="BR147" s="2">
        <f t="shared" si="85"/>
        <v>0</v>
      </c>
      <c r="BS147" s="2">
        <f t="shared" si="85"/>
        <v>0</v>
      </c>
      <c r="BT147" s="2">
        <f t="shared" si="85"/>
        <v>0</v>
      </c>
      <c r="BU147" s="2">
        <f t="shared" si="85"/>
        <v>0</v>
      </c>
      <c r="BV147" s="2">
        <f t="shared" si="85"/>
        <v>0</v>
      </c>
      <c r="BW147" s="2">
        <f t="shared" si="85"/>
        <v>0</v>
      </c>
      <c r="BX147" s="2">
        <f t="shared" si="85"/>
        <v>0</v>
      </c>
      <c r="BY147" s="2">
        <f t="shared" si="85"/>
        <v>0</v>
      </c>
      <c r="BZ147" s="2">
        <f t="shared" si="85"/>
        <v>0</v>
      </c>
      <c r="CA147" s="2">
        <f t="shared" ref="CA147:DF147" si="86">CA154</f>
        <v>30036.87</v>
      </c>
      <c r="CB147" s="2">
        <f t="shared" si="86"/>
        <v>5182.8900000000003</v>
      </c>
      <c r="CC147" s="2">
        <f t="shared" si="86"/>
        <v>24853.98</v>
      </c>
      <c r="CD147" s="2">
        <f t="shared" si="86"/>
        <v>0</v>
      </c>
      <c r="CE147" s="2">
        <f t="shared" si="86"/>
        <v>30036.87</v>
      </c>
      <c r="CF147" s="2">
        <f t="shared" si="86"/>
        <v>30036.87</v>
      </c>
      <c r="CG147" s="2">
        <f t="shared" si="86"/>
        <v>0</v>
      </c>
      <c r="CH147" s="2">
        <f t="shared" si="86"/>
        <v>30036.87</v>
      </c>
      <c r="CI147" s="2">
        <f t="shared" si="86"/>
        <v>0</v>
      </c>
      <c r="CJ147" s="2">
        <f t="shared" si="86"/>
        <v>0</v>
      </c>
      <c r="CK147" s="2">
        <f t="shared" si="86"/>
        <v>0</v>
      </c>
      <c r="CL147" s="2">
        <f t="shared" si="86"/>
        <v>0</v>
      </c>
      <c r="CM147" s="2">
        <f t="shared" si="86"/>
        <v>0</v>
      </c>
      <c r="CN147" s="2">
        <f t="shared" si="86"/>
        <v>0</v>
      </c>
      <c r="CO147" s="2">
        <f t="shared" si="86"/>
        <v>0</v>
      </c>
      <c r="CP147" s="2">
        <f t="shared" si="86"/>
        <v>0</v>
      </c>
      <c r="CQ147" s="2">
        <f t="shared" si="86"/>
        <v>0</v>
      </c>
      <c r="CR147" s="2">
        <f t="shared" si="86"/>
        <v>0</v>
      </c>
      <c r="CS147" s="2">
        <f t="shared" si="86"/>
        <v>0</v>
      </c>
      <c r="CT147" s="2">
        <f t="shared" si="86"/>
        <v>0</v>
      </c>
      <c r="CU147" s="2">
        <f t="shared" si="86"/>
        <v>0</v>
      </c>
      <c r="CV147" s="2">
        <f t="shared" si="86"/>
        <v>0</v>
      </c>
      <c r="CW147" s="2">
        <f t="shared" si="86"/>
        <v>0</v>
      </c>
      <c r="CX147" s="2">
        <f t="shared" si="86"/>
        <v>0</v>
      </c>
      <c r="CY147" s="2">
        <f t="shared" si="86"/>
        <v>0</v>
      </c>
      <c r="CZ147" s="2">
        <f t="shared" si="86"/>
        <v>0</v>
      </c>
      <c r="DA147" s="2">
        <f t="shared" si="86"/>
        <v>0</v>
      </c>
      <c r="DB147" s="2">
        <f t="shared" si="86"/>
        <v>0</v>
      </c>
      <c r="DC147" s="2">
        <f t="shared" si="86"/>
        <v>0</v>
      </c>
      <c r="DD147" s="2">
        <f t="shared" si="86"/>
        <v>0</v>
      </c>
      <c r="DE147" s="2">
        <f t="shared" si="86"/>
        <v>0</v>
      </c>
      <c r="DF147" s="2">
        <f t="shared" si="86"/>
        <v>0</v>
      </c>
      <c r="DG147" s="3">
        <f t="shared" ref="DG147:EL147" si="87">DG154</f>
        <v>0</v>
      </c>
      <c r="DH147" s="3">
        <f t="shared" si="87"/>
        <v>0</v>
      </c>
      <c r="DI147" s="3">
        <f t="shared" si="87"/>
        <v>0</v>
      </c>
      <c r="DJ147" s="3">
        <f t="shared" si="87"/>
        <v>0</v>
      </c>
      <c r="DK147" s="3">
        <f t="shared" si="87"/>
        <v>0</v>
      </c>
      <c r="DL147" s="3">
        <f t="shared" si="87"/>
        <v>0</v>
      </c>
      <c r="DM147" s="3">
        <f t="shared" si="87"/>
        <v>0</v>
      </c>
      <c r="DN147" s="3">
        <f t="shared" si="87"/>
        <v>0</v>
      </c>
      <c r="DO147" s="3">
        <f t="shared" si="87"/>
        <v>0</v>
      </c>
      <c r="DP147" s="3">
        <f t="shared" si="87"/>
        <v>0</v>
      </c>
      <c r="DQ147" s="3">
        <f t="shared" si="87"/>
        <v>0</v>
      </c>
      <c r="DR147" s="3">
        <f t="shared" si="87"/>
        <v>0</v>
      </c>
      <c r="DS147" s="3">
        <f t="shared" si="87"/>
        <v>0</v>
      </c>
      <c r="DT147" s="3">
        <f t="shared" si="87"/>
        <v>0</v>
      </c>
      <c r="DU147" s="3">
        <f t="shared" si="87"/>
        <v>0</v>
      </c>
      <c r="DV147" s="3">
        <f t="shared" si="87"/>
        <v>0</v>
      </c>
      <c r="DW147" s="3">
        <f t="shared" si="87"/>
        <v>0</v>
      </c>
      <c r="DX147" s="3">
        <f t="shared" si="87"/>
        <v>0</v>
      </c>
      <c r="DY147" s="3">
        <f t="shared" si="87"/>
        <v>0</v>
      </c>
      <c r="DZ147" s="3">
        <f t="shared" si="87"/>
        <v>0</v>
      </c>
      <c r="EA147" s="3">
        <f t="shared" si="87"/>
        <v>0</v>
      </c>
      <c r="EB147" s="3">
        <f t="shared" si="87"/>
        <v>0</v>
      </c>
      <c r="EC147" s="3">
        <f t="shared" si="87"/>
        <v>0</v>
      </c>
      <c r="ED147" s="3">
        <f t="shared" si="87"/>
        <v>0</v>
      </c>
      <c r="EE147" s="3">
        <f t="shared" si="87"/>
        <v>0</v>
      </c>
      <c r="EF147" s="3">
        <f t="shared" si="87"/>
        <v>0</v>
      </c>
      <c r="EG147" s="3">
        <f t="shared" si="87"/>
        <v>0</v>
      </c>
      <c r="EH147" s="3">
        <f t="shared" si="87"/>
        <v>0</v>
      </c>
      <c r="EI147" s="3">
        <f t="shared" si="87"/>
        <v>0</v>
      </c>
      <c r="EJ147" s="3">
        <f t="shared" si="87"/>
        <v>0</v>
      </c>
      <c r="EK147" s="3">
        <f t="shared" si="87"/>
        <v>0</v>
      </c>
      <c r="EL147" s="3">
        <f t="shared" si="87"/>
        <v>0</v>
      </c>
      <c r="EM147" s="3">
        <f t="shared" ref="EM147:FR147" si="88">EM154</f>
        <v>0</v>
      </c>
      <c r="EN147" s="3">
        <f t="shared" si="88"/>
        <v>0</v>
      </c>
      <c r="EO147" s="3">
        <f t="shared" si="88"/>
        <v>0</v>
      </c>
      <c r="EP147" s="3">
        <f t="shared" si="88"/>
        <v>0</v>
      </c>
      <c r="EQ147" s="3">
        <f t="shared" si="88"/>
        <v>0</v>
      </c>
      <c r="ER147" s="3">
        <f t="shared" si="88"/>
        <v>0</v>
      </c>
      <c r="ES147" s="3">
        <f t="shared" si="88"/>
        <v>0</v>
      </c>
      <c r="ET147" s="3">
        <f t="shared" si="88"/>
        <v>0</v>
      </c>
      <c r="EU147" s="3">
        <f t="shared" si="88"/>
        <v>0</v>
      </c>
      <c r="EV147" s="3">
        <f t="shared" si="88"/>
        <v>0</v>
      </c>
      <c r="EW147" s="3">
        <f t="shared" si="88"/>
        <v>0</v>
      </c>
      <c r="EX147" s="3">
        <f t="shared" si="88"/>
        <v>0</v>
      </c>
      <c r="EY147" s="3">
        <f t="shared" si="88"/>
        <v>0</v>
      </c>
      <c r="EZ147" s="3">
        <f t="shared" si="88"/>
        <v>0</v>
      </c>
      <c r="FA147" s="3">
        <f t="shared" si="88"/>
        <v>0</v>
      </c>
      <c r="FB147" s="3">
        <f t="shared" si="88"/>
        <v>0</v>
      </c>
      <c r="FC147" s="3">
        <f t="shared" si="88"/>
        <v>0</v>
      </c>
      <c r="FD147" s="3">
        <f t="shared" si="88"/>
        <v>0</v>
      </c>
      <c r="FE147" s="3">
        <f t="shared" si="88"/>
        <v>0</v>
      </c>
      <c r="FF147" s="3">
        <f t="shared" si="88"/>
        <v>0</v>
      </c>
      <c r="FG147" s="3">
        <f t="shared" si="88"/>
        <v>0</v>
      </c>
      <c r="FH147" s="3">
        <f t="shared" si="88"/>
        <v>0</v>
      </c>
      <c r="FI147" s="3">
        <f t="shared" si="88"/>
        <v>0</v>
      </c>
      <c r="FJ147" s="3">
        <f t="shared" si="88"/>
        <v>0</v>
      </c>
      <c r="FK147" s="3">
        <f t="shared" si="88"/>
        <v>0</v>
      </c>
      <c r="FL147" s="3">
        <f t="shared" si="88"/>
        <v>0</v>
      </c>
      <c r="FM147" s="3">
        <f t="shared" si="88"/>
        <v>0</v>
      </c>
      <c r="FN147" s="3">
        <f t="shared" si="88"/>
        <v>0</v>
      </c>
      <c r="FO147" s="3">
        <f t="shared" si="88"/>
        <v>0</v>
      </c>
      <c r="FP147" s="3">
        <f t="shared" si="88"/>
        <v>0</v>
      </c>
      <c r="FQ147" s="3">
        <f t="shared" si="88"/>
        <v>0</v>
      </c>
      <c r="FR147" s="3">
        <f t="shared" si="88"/>
        <v>0</v>
      </c>
      <c r="FS147" s="3">
        <f t="shared" ref="FS147:GX147" si="89">FS154</f>
        <v>0</v>
      </c>
      <c r="FT147" s="3">
        <f t="shared" si="89"/>
        <v>0</v>
      </c>
      <c r="FU147" s="3">
        <f t="shared" si="89"/>
        <v>0</v>
      </c>
      <c r="FV147" s="3">
        <f t="shared" si="89"/>
        <v>0</v>
      </c>
      <c r="FW147" s="3">
        <f t="shared" si="89"/>
        <v>0</v>
      </c>
      <c r="FX147" s="3">
        <f t="shared" si="89"/>
        <v>0</v>
      </c>
      <c r="FY147" s="3">
        <f t="shared" si="89"/>
        <v>0</v>
      </c>
      <c r="FZ147" s="3">
        <f t="shared" si="89"/>
        <v>0</v>
      </c>
      <c r="GA147" s="3">
        <f t="shared" si="89"/>
        <v>0</v>
      </c>
      <c r="GB147" s="3">
        <f t="shared" si="89"/>
        <v>0</v>
      </c>
      <c r="GC147" s="3">
        <f t="shared" si="89"/>
        <v>0</v>
      </c>
      <c r="GD147" s="3">
        <f t="shared" si="89"/>
        <v>0</v>
      </c>
      <c r="GE147" s="3">
        <f t="shared" si="89"/>
        <v>0</v>
      </c>
      <c r="GF147" s="3">
        <f t="shared" si="89"/>
        <v>0</v>
      </c>
      <c r="GG147" s="3">
        <f t="shared" si="89"/>
        <v>0</v>
      </c>
      <c r="GH147" s="3">
        <f t="shared" si="89"/>
        <v>0</v>
      </c>
      <c r="GI147" s="3">
        <f t="shared" si="89"/>
        <v>0</v>
      </c>
      <c r="GJ147" s="3">
        <f t="shared" si="89"/>
        <v>0</v>
      </c>
      <c r="GK147" s="3">
        <f t="shared" si="89"/>
        <v>0</v>
      </c>
      <c r="GL147" s="3">
        <f t="shared" si="89"/>
        <v>0</v>
      </c>
      <c r="GM147" s="3">
        <f t="shared" si="89"/>
        <v>0</v>
      </c>
      <c r="GN147" s="3">
        <f t="shared" si="89"/>
        <v>0</v>
      </c>
      <c r="GO147" s="3">
        <f t="shared" si="89"/>
        <v>0</v>
      </c>
      <c r="GP147" s="3">
        <f t="shared" si="89"/>
        <v>0</v>
      </c>
      <c r="GQ147" s="3">
        <f t="shared" si="89"/>
        <v>0</v>
      </c>
      <c r="GR147" s="3">
        <f t="shared" si="89"/>
        <v>0</v>
      </c>
      <c r="GS147" s="3">
        <f t="shared" si="89"/>
        <v>0</v>
      </c>
      <c r="GT147" s="3">
        <f t="shared" si="89"/>
        <v>0</v>
      </c>
      <c r="GU147" s="3">
        <f t="shared" si="89"/>
        <v>0</v>
      </c>
      <c r="GV147" s="3">
        <f t="shared" si="89"/>
        <v>0</v>
      </c>
      <c r="GW147" s="3">
        <f t="shared" si="89"/>
        <v>0</v>
      </c>
      <c r="GX147" s="3">
        <f t="shared" si="89"/>
        <v>0</v>
      </c>
    </row>
    <row r="149" spans="1:245" x14ac:dyDescent="0.2">
      <c r="A149">
        <v>17</v>
      </c>
      <c r="B149">
        <v>1</v>
      </c>
      <c r="E149" t="s">
        <v>172</v>
      </c>
      <c r="F149" t="s">
        <v>173</v>
      </c>
      <c r="G149" t="s">
        <v>174</v>
      </c>
      <c r="H149" t="s">
        <v>52</v>
      </c>
      <c r="I149">
        <f>ROUND(I71/10+I72/10,9)</f>
        <v>6.7500000000000004E-2</v>
      </c>
      <c r="J149">
        <v>0</v>
      </c>
      <c r="O149">
        <f>ROUND(CP149,2)</f>
        <v>23004.77</v>
      </c>
      <c r="P149">
        <f>ROUND((ROUND((AC149*AW149*I149),2)*BC149),2)</f>
        <v>23004.77</v>
      </c>
      <c r="Q149">
        <f>(ROUND((ROUND(((ET149)*AV149*I149),2)*BB149),2)+ROUND((ROUND(((AE149-(EU149))*AV149*I149),2)*BS149),2))</f>
        <v>0</v>
      </c>
      <c r="R149">
        <f>ROUND((ROUND((AE149*AV149*I149),2)*BS149),2)</f>
        <v>0</v>
      </c>
      <c r="S149">
        <f>ROUND((ROUND((AF149*AV149*I149),2)*BA149),2)</f>
        <v>0</v>
      </c>
      <c r="T149">
        <f>ROUND(CU149*I149,2)</f>
        <v>0</v>
      </c>
      <c r="U149">
        <f>CV149*I149</f>
        <v>0</v>
      </c>
      <c r="V149">
        <f>CW149*I149</f>
        <v>0</v>
      </c>
      <c r="W149">
        <f>ROUND(CX149*I149,2)</f>
        <v>0</v>
      </c>
      <c r="X149">
        <f t="shared" ref="X149:Y152" si="90">ROUND(CY149,2)</f>
        <v>0</v>
      </c>
      <c r="Y149">
        <f t="shared" si="90"/>
        <v>0</v>
      </c>
      <c r="AA149">
        <v>23689695</v>
      </c>
      <c r="AB149">
        <f>ROUND((AC149+AD149+AF149),6)</f>
        <v>99361.96</v>
      </c>
      <c r="AC149">
        <f>ROUND((ES149),6)</f>
        <v>99361.96</v>
      </c>
      <c r="AD149">
        <f>ROUND((((ET149)-(EU149))+AE149),6)</f>
        <v>0</v>
      </c>
      <c r="AE149">
        <f t="shared" ref="AE149:AF152" si="91">ROUND((EU149),6)</f>
        <v>0</v>
      </c>
      <c r="AF149">
        <f t="shared" si="91"/>
        <v>0</v>
      </c>
      <c r="AG149">
        <f>ROUND((AP149),6)</f>
        <v>0</v>
      </c>
      <c r="AH149">
        <f t="shared" ref="AH149:AI152" si="92">(EW149)</f>
        <v>0</v>
      </c>
      <c r="AI149">
        <f t="shared" si="92"/>
        <v>0</v>
      </c>
      <c r="AJ149">
        <f>(AS149)</f>
        <v>0</v>
      </c>
      <c r="AK149">
        <v>99361.96</v>
      </c>
      <c r="AL149">
        <v>99361.96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1</v>
      </c>
      <c r="AW149">
        <v>1</v>
      </c>
      <c r="AZ149">
        <v>1</v>
      </c>
      <c r="BA149">
        <v>1</v>
      </c>
      <c r="BB149">
        <v>1</v>
      </c>
      <c r="BC149">
        <v>3.43</v>
      </c>
      <c r="BD149" t="s">
        <v>3</v>
      </c>
      <c r="BE149" t="s">
        <v>3</v>
      </c>
      <c r="BF149" t="s">
        <v>3</v>
      </c>
      <c r="BG149" t="s">
        <v>3</v>
      </c>
      <c r="BH149">
        <v>3</v>
      </c>
      <c r="BI149">
        <v>2</v>
      </c>
      <c r="BJ149" t="s">
        <v>175</v>
      </c>
      <c r="BM149">
        <v>1618</v>
      </c>
      <c r="BN149">
        <v>0</v>
      </c>
      <c r="BO149" t="s">
        <v>173</v>
      </c>
      <c r="BP149">
        <v>1</v>
      </c>
      <c r="BQ149">
        <v>201</v>
      </c>
      <c r="BR149">
        <v>0</v>
      </c>
      <c r="BS149">
        <v>1</v>
      </c>
      <c r="BT149">
        <v>1</v>
      </c>
      <c r="BU149">
        <v>1</v>
      </c>
      <c r="BV149">
        <v>1</v>
      </c>
      <c r="BW149">
        <v>1</v>
      </c>
      <c r="BX149">
        <v>1</v>
      </c>
      <c r="BY149" t="s">
        <v>3</v>
      </c>
      <c r="BZ149">
        <v>0</v>
      </c>
      <c r="CA149">
        <v>0</v>
      </c>
      <c r="CE149">
        <v>30</v>
      </c>
      <c r="CF149">
        <v>0</v>
      </c>
      <c r="CG149">
        <v>0</v>
      </c>
      <c r="CM149">
        <v>0</v>
      </c>
      <c r="CN149" t="s">
        <v>3</v>
      </c>
      <c r="CO149">
        <v>0</v>
      </c>
      <c r="CP149">
        <f>(P149+Q149+S149)</f>
        <v>23004.77</v>
      </c>
      <c r="CQ149">
        <f>ROUND((ROUND((AC149*AW149*1),2)*BC149),2)</f>
        <v>340811.52000000002</v>
      </c>
      <c r="CR149">
        <f>(ROUND((ROUND(((ET149)*AV149*1),2)*BB149),2)+ROUND((ROUND(((AE149-(EU149))*AV149*1),2)*BS149),2))</f>
        <v>0</v>
      </c>
      <c r="CS149">
        <f>ROUND((ROUND((AE149*AV149*1),2)*BS149),2)</f>
        <v>0</v>
      </c>
      <c r="CT149">
        <f>ROUND((ROUND((AF149*AV149*1),2)*BA149),2)</f>
        <v>0</v>
      </c>
      <c r="CU149">
        <f>AG149</f>
        <v>0</v>
      </c>
      <c r="CV149">
        <f>(AH149*AV149)</f>
        <v>0</v>
      </c>
      <c r="CW149">
        <f t="shared" ref="CW149:CX152" si="93">AI149</f>
        <v>0</v>
      </c>
      <c r="CX149">
        <f t="shared" si="93"/>
        <v>0</v>
      </c>
      <c r="CY149">
        <f>S149*(BZ149/100)</f>
        <v>0</v>
      </c>
      <c r="CZ149">
        <f>S149*(CA149/100)</f>
        <v>0</v>
      </c>
      <c r="DC149" t="s">
        <v>3</v>
      </c>
      <c r="DD149" t="s">
        <v>3</v>
      </c>
      <c r="DE149" t="s">
        <v>3</v>
      </c>
      <c r="DF149" t="s">
        <v>3</v>
      </c>
      <c r="DG149" t="s">
        <v>3</v>
      </c>
      <c r="DH149" t="s">
        <v>3</v>
      </c>
      <c r="DI149" t="s">
        <v>3</v>
      </c>
      <c r="DJ149" t="s">
        <v>3</v>
      </c>
      <c r="DK149" t="s">
        <v>3</v>
      </c>
      <c r="DL149" t="s">
        <v>3</v>
      </c>
      <c r="DM149" t="s">
        <v>3</v>
      </c>
      <c r="DN149">
        <v>0</v>
      </c>
      <c r="DO149">
        <v>0</v>
      </c>
      <c r="DP149">
        <v>1</v>
      </c>
      <c r="DQ149">
        <v>1</v>
      </c>
      <c r="DU149">
        <v>1003</v>
      </c>
      <c r="DV149" t="s">
        <v>52</v>
      </c>
      <c r="DW149" t="s">
        <v>52</v>
      </c>
      <c r="DX149">
        <v>1000</v>
      </c>
      <c r="DZ149" t="s">
        <v>3</v>
      </c>
      <c r="EA149" t="s">
        <v>3</v>
      </c>
      <c r="EB149" t="s">
        <v>3</v>
      </c>
      <c r="EC149" t="s">
        <v>3</v>
      </c>
      <c r="EE149">
        <v>22828459</v>
      </c>
      <c r="EF149">
        <v>201</v>
      </c>
      <c r="EG149" t="s">
        <v>176</v>
      </c>
      <c r="EH149">
        <v>0</v>
      </c>
      <c r="EI149" t="s">
        <v>3</v>
      </c>
      <c r="EJ149">
        <v>2</v>
      </c>
      <c r="EK149">
        <v>1618</v>
      </c>
      <c r="EL149" t="s">
        <v>177</v>
      </c>
      <c r="EM149" t="s">
        <v>178</v>
      </c>
      <c r="EO149" t="s">
        <v>3</v>
      </c>
      <c r="EQ149">
        <v>0</v>
      </c>
      <c r="ER149">
        <v>99361.96</v>
      </c>
      <c r="ES149">
        <v>99361.96</v>
      </c>
      <c r="ET149">
        <v>0</v>
      </c>
      <c r="EU149">
        <v>0</v>
      </c>
      <c r="EV149">
        <v>0</v>
      </c>
      <c r="EW149">
        <v>0</v>
      </c>
      <c r="EX149">
        <v>0</v>
      </c>
      <c r="EY149">
        <v>0</v>
      </c>
      <c r="FQ149">
        <v>0</v>
      </c>
      <c r="FR149">
        <f>ROUND(IF(AND(BH149=3,BI149=3),P149,0),2)</f>
        <v>0</v>
      </c>
      <c r="FS149">
        <v>0</v>
      </c>
      <c r="FX149">
        <v>0</v>
      </c>
      <c r="FY149">
        <v>0</v>
      </c>
      <c r="GA149" t="s">
        <v>3</v>
      </c>
      <c r="GD149">
        <v>0</v>
      </c>
      <c r="GF149">
        <v>-1592107865</v>
      </c>
      <c r="GG149">
        <v>2</v>
      </c>
      <c r="GH149">
        <v>1</v>
      </c>
      <c r="GI149">
        <v>2</v>
      </c>
      <c r="GJ149">
        <v>0</v>
      </c>
      <c r="GK149">
        <f>ROUND(R149*(R12)/100,2)</f>
        <v>0</v>
      </c>
      <c r="GL149">
        <f>ROUND(IF(AND(BH149=3,BI149=3,FS149&lt;&gt;0),P149,0),2)</f>
        <v>0</v>
      </c>
      <c r="GM149">
        <f>ROUND(O149+X149+Y149+GK149,2)+GX149</f>
        <v>23004.77</v>
      </c>
      <c r="GN149">
        <f>IF(OR(BI149=0,BI149=1),ROUND(O149+X149+Y149+GK149,2),0)</f>
        <v>0</v>
      </c>
      <c r="GO149">
        <f>IF(BI149=2,ROUND(O149+X149+Y149+GK149,2),0)</f>
        <v>23004.77</v>
      </c>
      <c r="GP149">
        <f>IF(BI149=4,ROUND(O149+X149+Y149+GK149,2)+GX149,0)</f>
        <v>0</v>
      </c>
      <c r="GR149">
        <v>0</v>
      </c>
      <c r="GS149">
        <v>3</v>
      </c>
      <c r="GT149">
        <v>0</v>
      </c>
      <c r="GU149" t="s">
        <v>3</v>
      </c>
      <c r="GV149">
        <f>ROUND((GT149),6)</f>
        <v>0</v>
      </c>
      <c r="GW149">
        <v>1</v>
      </c>
      <c r="GX149">
        <f>ROUND(HC149*I149,2)</f>
        <v>0</v>
      </c>
      <c r="HA149">
        <v>0</v>
      </c>
      <c r="HB149">
        <v>0</v>
      </c>
      <c r="HC149">
        <f>GV149*GW149</f>
        <v>0</v>
      </c>
      <c r="HE149" t="s">
        <v>3</v>
      </c>
      <c r="HF149" t="s">
        <v>3</v>
      </c>
      <c r="IK149">
        <v>0</v>
      </c>
    </row>
    <row r="150" spans="1:245" x14ac:dyDescent="0.2">
      <c r="A150">
        <v>17</v>
      </c>
      <c r="B150">
        <v>1</v>
      </c>
      <c r="E150" t="s">
        <v>179</v>
      </c>
      <c r="F150" t="s">
        <v>180</v>
      </c>
      <c r="G150" t="s">
        <v>181</v>
      </c>
      <c r="H150" t="s">
        <v>182</v>
      </c>
      <c r="I150">
        <v>2</v>
      </c>
      <c r="J150">
        <v>0</v>
      </c>
      <c r="O150">
        <f>ROUND(CP150,2)</f>
        <v>1849.21</v>
      </c>
      <c r="P150">
        <f>ROUND((ROUND((AC150*AW150*I150),2)*BC150),2)</f>
        <v>1849.21</v>
      </c>
      <c r="Q150">
        <f>(ROUND((ROUND(((ET150)*AV150*I150),2)*BB150),2)+ROUND((ROUND(((AE150-(EU150))*AV150*I150),2)*BS150),2))</f>
        <v>0</v>
      </c>
      <c r="R150">
        <f>ROUND((ROUND((AE150*AV150*I150),2)*BS150),2)</f>
        <v>0</v>
      </c>
      <c r="S150">
        <f>ROUND((ROUND((AF150*AV150*I150),2)*BA150),2)</f>
        <v>0</v>
      </c>
      <c r="T150">
        <f>ROUND(CU150*I150,2)</f>
        <v>0</v>
      </c>
      <c r="U150">
        <f>CV150*I150</f>
        <v>0</v>
      </c>
      <c r="V150">
        <f>CW150*I150</f>
        <v>0</v>
      </c>
      <c r="W150">
        <f>ROUND(CX150*I150,2)</f>
        <v>0</v>
      </c>
      <c r="X150">
        <f t="shared" si="90"/>
        <v>0</v>
      </c>
      <c r="Y150">
        <f t="shared" si="90"/>
        <v>0</v>
      </c>
      <c r="AA150">
        <v>23689695</v>
      </c>
      <c r="AB150">
        <f>ROUND((AC150+AD150+AF150),6)</f>
        <v>306.16000000000003</v>
      </c>
      <c r="AC150">
        <f>ROUND((ES150),6)</f>
        <v>306.16000000000003</v>
      </c>
      <c r="AD150">
        <f>ROUND((((ET150)-(EU150))+AE150),6)</f>
        <v>0</v>
      </c>
      <c r="AE150">
        <f t="shared" si="91"/>
        <v>0</v>
      </c>
      <c r="AF150">
        <f t="shared" si="91"/>
        <v>0</v>
      </c>
      <c r="AG150">
        <f>ROUND((AP150),6)</f>
        <v>0</v>
      </c>
      <c r="AH150">
        <f t="shared" si="92"/>
        <v>0</v>
      </c>
      <c r="AI150">
        <f t="shared" si="92"/>
        <v>0</v>
      </c>
      <c r="AJ150">
        <f>(AS150)</f>
        <v>0</v>
      </c>
      <c r="AK150">
        <v>306.16000000000003</v>
      </c>
      <c r="AL150">
        <v>306.16000000000003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1</v>
      </c>
      <c r="AW150">
        <v>1</v>
      </c>
      <c r="AZ150">
        <v>1</v>
      </c>
      <c r="BA150">
        <v>1</v>
      </c>
      <c r="BB150">
        <v>1</v>
      </c>
      <c r="BC150">
        <v>3.02</v>
      </c>
      <c r="BD150" t="s">
        <v>3</v>
      </c>
      <c r="BE150" t="s">
        <v>3</v>
      </c>
      <c r="BF150" t="s">
        <v>3</v>
      </c>
      <c r="BG150" t="s">
        <v>3</v>
      </c>
      <c r="BH150">
        <v>3</v>
      </c>
      <c r="BI150">
        <v>2</v>
      </c>
      <c r="BJ150" t="s">
        <v>183</v>
      </c>
      <c r="BM150">
        <v>1618</v>
      </c>
      <c r="BN150">
        <v>0</v>
      </c>
      <c r="BO150" t="s">
        <v>180</v>
      </c>
      <c r="BP150">
        <v>1</v>
      </c>
      <c r="BQ150">
        <v>201</v>
      </c>
      <c r="BR150">
        <v>0</v>
      </c>
      <c r="BS150">
        <v>1</v>
      </c>
      <c r="BT150">
        <v>1</v>
      </c>
      <c r="BU150">
        <v>1</v>
      </c>
      <c r="BV150">
        <v>1</v>
      </c>
      <c r="BW150">
        <v>1</v>
      </c>
      <c r="BX150">
        <v>1</v>
      </c>
      <c r="BY150" t="s">
        <v>3</v>
      </c>
      <c r="BZ150">
        <v>0</v>
      </c>
      <c r="CA150">
        <v>0</v>
      </c>
      <c r="CE150">
        <v>30</v>
      </c>
      <c r="CF150">
        <v>0</v>
      </c>
      <c r="CG150">
        <v>0</v>
      </c>
      <c r="CM150">
        <v>0</v>
      </c>
      <c r="CN150" t="s">
        <v>3</v>
      </c>
      <c r="CO150">
        <v>0</v>
      </c>
      <c r="CP150">
        <f>(P150+Q150+S150)</f>
        <v>1849.21</v>
      </c>
      <c r="CQ150">
        <f>ROUND((ROUND((AC150*AW150*1),2)*BC150),2)</f>
        <v>924.6</v>
      </c>
      <c r="CR150">
        <f>(ROUND((ROUND(((ET150)*AV150*1),2)*BB150),2)+ROUND((ROUND(((AE150-(EU150))*AV150*1),2)*BS150),2))</f>
        <v>0</v>
      </c>
      <c r="CS150">
        <f>ROUND((ROUND((AE150*AV150*1),2)*BS150),2)</f>
        <v>0</v>
      </c>
      <c r="CT150">
        <f>ROUND((ROUND((AF150*AV150*1),2)*BA150),2)</f>
        <v>0</v>
      </c>
      <c r="CU150">
        <f>AG150</f>
        <v>0</v>
      </c>
      <c r="CV150">
        <f>(AH150*AV150)</f>
        <v>0</v>
      </c>
      <c r="CW150">
        <f t="shared" si="93"/>
        <v>0</v>
      </c>
      <c r="CX150">
        <f t="shared" si="93"/>
        <v>0</v>
      </c>
      <c r="CY150">
        <f>S150*(BZ150/100)</f>
        <v>0</v>
      </c>
      <c r="CZ150">
        <f>S150*(CA150/100)</f>
        <v>0</v>
      </c>
      <c r="DC150" t="s">
        <v>3</v>
      </c>
      <c r="DD150" t="s">
        <v>3</v>
      </c>
      <c r="DE150" t="s">
        <v>3</v>
      </c>
      <c r="DF150" t="s">
        <v>3</v>
      </c>
      <c r="DG150" t="s">
        <v>3</v>
      </c>
      <c r="DH150" t="s">
        <v>3</v>
      </c>
      <c r="DI150" t="s">
        <v>3</v>
      </c>
      <c r="DJ150" t="s">
        <v>3</v>
      </c>
      <c r="DK150" t="s">
        <v>3</v>
      </c>
      <c r="DL150" t="s">
        <v>3</v>
      </c>
      <c r="DM150" t="s">
        <v>3</v>
      </c>
      <c r="DN150">
        <v>0</v>
      </c>
      <c r="DO150">
        <v>0</v>
      </c>
      <c r="DP150">
        <v>1</v>
      </c>
      <c r="DQ150">
        <v>1</v>
      </c>
      <c r="DU150">
        <v>1013</v>
      </c>
      <c r="DV150" t="s">
        <v>182</v>
      </c>
      <c r="DW150" t="s">
        <v>182</v>
      </c>
      <c r="DX150">
        <v>1</v>
      </c>
      <c r="DZ150" t="s">
        <v>3</v>
      </c>
      <c r="EA150" t="s">
        <v>3</v>
      </c>
      <c r="EB150" t="s">
        <v>3</v>
      </c>
      <c r="EC150" t="s">
        <v>3</v>
      </c>
      <c r="EE150">
        <v>22828459</v>
      </c>
      <c r="EF150">
        <v>201</v>
      </c>
      <c r="EG150" t="s">
        <v>176</v>
      </c>
      <c r="EH150">
        <v>0</v>
      </c>
      <c r="EI150" t="s">
        <v>3</v>
      </c>
      <c r="EJ150">
        <v>2</v>
      </c>
      <c r="EK150">
        <v>1618</v>
      </c>
      <c r="EL150" t="s">
        <v>177</v>
      </c>
      <c r="EM150" t="s">
        <v>178</v>
      </c>
      <c r="EO150" t="s">
        <v>3</v>
      </c>
      <c r="EQ150">
        <v>0</v>
      </c>
      <c r="ER150">
        <v>306.16000000000003</v>
      </c>
      <c r="ES150">
        <v>306.16000000000003</v>
      </c>
      <c r="ET150">
        <v>0</v>
      </c>
      <c r="EU150">
        <v>0</v>
      </c>
      <c r="EV150">
        <v>0</v>
      </c>
      <c r="EW150">
        <v>0</v>
      </c>
      <c r="EX150">
        <v>0</v>
      </c>
      <c r="EY150">
        <v>0</v>
      </c>
      <c r="FQ150">
        <v>0</v>
      </c>
      <c r="FR150">
        <f>ROUND(IF(AND(BH150=3,BI150=3),P150,0),2)</f>
        <v>0</v>
      </c>
      <c r="FS150">
        <v>0</v>
      </c>
      <c r="FX150">
        <v>0</v>
      </c>
      <c r="FY150">
        <v>0</v>
      </c>
      <c r="GA150" t="s">
        <v>3</v>
      </c>
      <c r="GD150">
        <v>0</v>
      </c>
      <c r="GF150">
        <v>1691931615</v>
      </c>
      <c r="GG150">
        <v>2</v>
      </c>
      <c r="GH150">
        <v>1</v>
      </c>
      <c r="GI150">
        <v>2</v>
      </c>
      <c r="GJ150">
        <v>0</v>
      </c>
      <c r="GK150">
        <f>ROUND(R150*(R12)/100,2)</f>
        <v>0</v>
      </c>
      <c r="GL150">
        <f>ROUND(IF(AND(BH150=3,BI150=3,FS150&lt;&gt;0),P150,0),2)</f>
        <v>0</v>
      </c>
      <c r="GM150">
        <f>ROUND(O150+X150+Y150+GK150,2)+GX150</f>
        <v>1849.21</v>
      </c>
      <c r="GN150">
        <f>IF(OR(BI150=0,BI150=1),ROUND(O150+X150+Y150+GK150,2),0)</f>
        <v>0</v>
      </c>
      <c r="GO150">
        <f>IF(BI150=2,ROUND(O150+X150+Y150+GK150,2),0)</f>
        <v>1849.21</v>
      </c>
      <c r="GP150">
        <f>IF(BI150=4,ROUND(O150+X150+Y150+GK150,2)+GX150,0)</f>
        <v>0</v>
      </c>
      <c r="GR150">
        <v>0</v>
      </c>
      <c r="GS150">
        <v>3</v>
      </c>
      <c r="GT150">
        <v>0</v>
      </c>
      <c r="GU150" t="s">
        <v>3</v>
      </c>
      <c r="GV150">
        <f>ROUND((GT150),6)</f>
        <v>0</v>
      </c>
      <c r="GW150">
        <v>1</v>
      </c>
      <c r="GX150">
        <f>ROUND(HC150*I150,2)</f>
        <v>0</v>
      </c>
      <c r="HA150">
        <v>0</v>
      </c>
      <c r="HB150">
        <v>0</v>
      </c>
      <c r="HC150">
        <f>GV150*GW150</f>
        <v>0</v>
      </c>
      <c r="HE150" t="s">
        <v>3</v>
      </c>
      <c r="HF150" t="s">
        <v>3</v>
      </c>
      <c r="IK150">
        <v>0</v>
      </c>
    </row>
    <row r="151" spans="1:245" x14ac:dyDescent="0.2">
      <c r="A151">
        <v>17</v>
      </c>
      <c r="B151">
        <v>1</v>
      </c>
      <c r="E151" t="s">
        <v>184</v>
      </c>
      <c r="F151" t="s">
        <v>185</v>
      </c>
      <c r="G151" t="s">
        <v>186</v>
      </c>
      <c r="H151" t="s">
        <v>187</v>
      </c>
      <c r="I151">
        <f>ROUND(65*0.4*0.3*1.15,9)</f>
        <v>8.9700000000000006</v>
      </c>
      <c r="J151">
        <v>0</v>
      </c>
      <c r="O151">
        <f>ROUND(CP151,2)</f>
        <v>5179.68</v>
      </c>
      <c r="P151">
        <f>ROUND((ROUND((AC151*AW151*I151),2)*BC151),2)</f>
        <v>5179.68</v>
      </c>
      <c r="Q151">
        <f>(ROUND((ROUND(((ET151)*AV151*I151),2)*BB151),2)+ROUND((ROUND(((AE151-(EU151))*AV151*I151),2)*BS151),2))</f>
        <v>0</v>
      </c>
      <c r="R151">
        <f>ROUND((ROUND((AE151*AV151*I151),2)*BS151),2)</f>
        <v>0</v>
      </c>
      <c r="S151">
        <f>ROUND((ROUND((AF151*AV151*I151),2)*BA151),2)</f>
        <v>0</v>
      </c>
      <c r="T151">
        <f>ROUND(CU151*I151,2)</f>
        <v>0</v>
      </c>
      <c r="U151">
        <f>CV151*I151</f>
        <v>0</v>
      </c>
      <c r="V151">
        <f>CW151*I151</f>
        <v>0</v>
      </c>
      <c r="W151">
        <f>ROUND(CX151*I151,2)</f>
        <v>0</v>
      </c>
      <c r="X151">
        <f t="shared" si="90"/>
        <v>0</v>
      </c>
      <c r="Y151">
        <f t="shared" si="90"/>
        <v>0</v>
      </c>
      <c r="AA151">
        <v>23689695</v>
      </c>
      <c r="AB151">
        <f>ROUND((AC151+AD151+AF151),6)</f>
        <v>104.99</v>
      </c>
      <c r="AC151">
        <f>ROUND((ES151),6)</f>
        <v>104.99</v>
      </c>
      <c r="AD151">
        <f>ROUND((((ET151)-(EU151))+AE151),6)</f>
        <v>0</v>
      </c>
      <c r="AE151">
        <f t="shared" si="91"/>
        <v>0</v>
      </c>
      <c r="AF151">
        <f t="shared" si="91"/>
        <v>0</v>
      </c>
      <c r="AG151">
        <f>ROUND((AP151),6)</f>
        <v>0</v>
      </c>
      <c r="AH151">
        <f t="shared" si="92"/>
        <v>0</v>
      </c>
      <c r="AI151">
        <f t="shared" si="92"/>
        <v>0</v>
      </c>
      <c r="AJ151">
        <f>(AS151)</f>
        <v>0</v>
      </c>
      <c r="AK151">
        <v>104.99</v>
      </c>
      <c r="AL151">
        <v>104.99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1</v>
      </c>
      <c r="AW151">
        <v>1</v>
      </c>
      <c r="AZ151">
        <v>1</v>
      </c>
      <c r="BA151">
        <v>1</v>
      </c>
      <c r="BB151">
        <v>1</v>
      </c>
      <c r="BC151">
        <v>5.5</v>
      </c>
      <c r="BD151" t="s">
        <v>3</v>
      </c>
      <c r="BE151" t="s">
        <v>3</v>
      </c>
      <c r="BF151" t="s">
        <v>3</v>
      </c>
      <c r="BG151" t="s">
        <v>3</v>
      </c>
      <c r="BH151">
        <v>3</v>
      </c>
      <c r="BI151">
        <v>1</v>
      </c>
      <c r="BJ151" t="s">
        <v>188</v>
      </c>
      <c r="BM151">
        <v>1617</v>
      </c>
      <c r="BN151">
        <v>0</v>
      </c>
      <c r="BO151" t="s">
        <v>185</v>
      </c>
      <c r="BP151">
        <v>1</v>
      </c>
      <c r="BQ151">
        <v>200</v>
      </c>
      <c r="BR151">
        <v>0</v>
      </c>
      <c r="BS151">
        <v>1</v>
      </c>
      <c r="BT151">
        <v>1</v>
      </c>
      <c r="BU151">
        <v>1</v>
      </c>
      <c r="BV151">
        <v>1</v>
      </c>
      <c r="BW151">
        <v>1</v>
      </c>
      <c r="BX151">
        <v>1</v>
      </c>
      <c r="BY151" t="s">
        <v>3</v>
      </c>
      <c r="BZ151">
        <v>0</v>
      </c>
      <c r="CA151">
        <v>0</v>
      </c>
      <c r="CE151">
        <v>30</v>
      </c>
      <c r="CF151">
        <v>0</v>
      </c>
      <c r="CG151">
        <v>0</v>
      </c>
      <c r="CM151">
        <v>0</v>
      </c>
      <c r="CN151" t="s">
        <v>3</v>
      </c>
      <c r="CO151">
        <v>0</v>
      </c>
      <c r="CP151">
        <f>(P151+Q151+S151)</f>
        <v>5179.68</v>
      </c>
      <c r="CQ151">
        <f>ROUND((ROUND((AC151*AW151*1),2)*BC151),2)</f>
        <v>577.45000000000005</v>
      </c>
      <c r="CR151">
        <f>(ROUND((ROUND(((ET151)*AV151*1),2)*BB151),2)+ROUND((ROUND(((AE151-(EU151))*AV151*1),2)*BS151),2))</f>
        <v>0</v>
      </c>
      <c r="CS151">
        <f>ROUND((ROUND((AE151*AV151*1),2)*BS151),2)</f>
        <v>0</v>
      </c>
      <c r="CT151">
        <f>ROUND((ROUND((AF151*AV151*1),2)*BA151),2)</f>
        <v>0</v>
      </c>
      <c r="CU151">
        <f>AG151</f>
        <v>0</v>
      </c>
      <c r="CV151">
        <f>(AH151*AV151)</f>
        <v>0</v>
      </c>
      <c r="CW151">
        <f t="shared" si="93"/>
        <v>0</v>
      </c>
      <c r="CX151">
        <f t="shared" si="93"/>
        <v>0</v>
      </c>
      <c r="CY151">
        <f>S151*(BZ151/100)</f>
        <v>0</v>
      </c>
      <c r="CZ151">
        <f>S151*(CA151/100)</f>
        <v>0</v>
      </c>
      <c r="DC151" t="s">
        <v>3</v>
      </c>
      <c r="DD151" t="s">
        <v>3</v>
      </c>
      <c r="DE151" t="s">
        <v>3</v>
      </c>
      <c r="DF151" t="s">
        <v>3</v>
      </c>
      <c r="DG151" t="s">
        <v>3</v>
      </c>
      <c r="DH151" t="s">
        <v>3</v>
      </c>
      <c r="DI151" t="s">
        <v>3</v>
      </c>
      <c r="DJ151" t="s">
        <v>3</v>
      </c>
      <c r="DK151" t="s">
        <v>3</v>
      </c>
      <c r="DL151" t="s">
        <v>3</v>
      </c>
      <c r="DM151" t="s">
        <v>3</v>
      </c>
      <c r="DN151">
        <v>0</v>
      </c>
      <c r="DO151">
        <v>0</v>
      </c>
      <c r="DP151">
        <v>1</v>
      </c>
      <c r="DQ151">
        <v>1</v>
      </c>
      <c r="DU151">
        <v>1007</v>
      </c>
      <c r="DV151" t="s">
        <v>187</v>
      </c>
      <c r="DW151" t="s">
        <v>187</v>
      </c>
      <c r="DX151">
        <v>1</v>
      </c>
      <c r="DZ151" t="s">
        <v>3</v>
      </c>
      <c r="EA151" t="s">
        <v>3</v>
      </c>
      <c r="EB151" t="s">
        <v>3</v>
      </c>
      <c r="EC151" t="s">
        <v>3</v>
      </c>
      <c r="EE151">
        <v>22828458</v>
      </c>
      <c r="EF151">
        <v>200</v>
      </c>
      <c r="EG151" t="s">
        <v>189</v>
      </c>
      <c r="EH151">
        <v>0</v>
      </c>
      <c r="EI151" t="s">
        <v>3</v>
      </c>
      <c r="EJ151">
        <v>1</v>
      </c>
      <c r="EK151">
        <v>1617</v>
      </c>
      <c r="EL151" t="s">
        <v>190</v>
      </c>
      <c r="EM151" t="s">
        <v>191</v>
      </c>
      <c r="EO151" t="s">
        <v>3</v>
      </c>
      <c r="EQ151">
        <v>0</v>
      </c>
      <c r="ER151">
        <v>104.99</v>
      </c>
      <c r="ES151">
        <v>104.99</v>
      </c>
      <c r="ET151">
        <v>0</v>
      </c>
      <c r="EU151">
        <v>0</v>
      </c>
      <c r="EV151">
        <v>0</v>
      </c>
      <c r="EW151">
        <v>0</v>
      </c>
      <c r="EX151">
        <v>0</v>
      </c>
      <c r="EY151">
        <v>0</v>
      </c>
      <c r="FQ151">
        <v>0</v>
      </c>
      <c r="FR151">
        <f>ROUND(IF(AND(BH151=3,BI151=3),P151,0),2)</f>
        <v>0</v>
      </c>
      <c r="FS151">
        <v>0</v>
      </c>
      <c r="FX151">
        <v>0</v>
      </c>
      <c r="FY151">
        <v>0</v>
      </c>
      <c r="GA151" t="s">
        <v>3</v>
      </c>
      <c r="GD151">
        <v>0</v>
      </c>
      <c r="GF151">
        <v>-20755177</v>
      </c>
      <c r="GG151">
        <v>2</v>
      </c>
      <c r="GH151">
        <v>1</v>
      </c>
      <c r="GI151">
        <v>2</v>
      </c>
      <c r="GJ151">
        <v>0</v>
      </c>
      <c r="GK151">
        <f>ROUND(R151*(R12)/100,2)</f>
        <v>0</v>
      </c>
      <c r="GL151">
        <f>ROUND(IF(AND(BH151=3,BI151=3,FS151&lt;&gt;0),P151,0),2)</f>
        <v>0</v>
      </c>
      <c r="GM151">
        <f>ROUND(O151+X151+Y151+GK151,2)+GX151</f>
        <v>5179.68</v>
      </c>
      <c r="GN151">
        <f>IF(OR(BI151=0,BI151=1),ROUND(O151+X151+Y151+GK151,2),0)</f>
        <v>5179.68</v>
      </c>
      <c r="GO151">
        <f>IF(BI151=2,ROUND(O151+X151+Y151+GK151,2),0)</f>
        <v>0</v>
      </c>
      <c r="GP151">
        <f>IF(BI151=4,ROUND(O151+X151+Y151+GK151,2)+GX151,0)</f>
        <v>0</v>
      </c>
      <c r="GR151">
        <v>0</v>
      </c>
      <c r="GS151">
        <v>0</v>
      </c>
      <c r="GT151">
        <v>0</v>
      </c>
      <c r="GU151" t="s">
        <v>3</v>
      </c>
      <c r="GV151">
        <f>ROUND((GT151),6)</f>
        <v>0</v>
      </c>
      <c r="GW151">
        <v>1</v>
      </c>
      <c r="GX151">
        <f>ROUND(HC151*I151,2)</f>
        <v>0</v>
      </c>
      <c r="HA151">
        <v>0</v>
      </c>
      <c r="HB151">
        <v>0</v>
      </c>
      <c r="HC151">
        <f>GV151*GW151</f>
        <v>0</v>
      </c>
      <c r="HE151" t="s">
        <v>3</v>
      </c>
      <c r="HF151" t="s">
        <v>3</v>
      </c>
      <c r="IK151">
        <v>0</v>
      </c>
    </row>
    <row r="152" spans="1:245" x14ac:dyDescent="0.2">
      <c r="A152">
        <v>17</v>
      </c>
      <c r="B152">
        <v>1</v>
      </c>
      <c r="E152" t="s">
        <v>192</v>
      </c>
      <c r="F152" t="s">
        <v>193</v>
      </c>
      <c r="G152" t="s">
        <v>194</v>
      </c>
      <c r="H152" t="s">
        <v>195</v>
      </c>
      <c r="I152">
        <f>ROUND(I32,9)</f>
        <v>1.2E-2</v>
      </c>
      <c r="J152">
        <v>0</v>
      </c>
      <c r="O152">
        <f>ROUND(CP152,2)</f>
        <v>3.21</v>
      </c>
      <c r="P152">
        <f>ROUND((ROUND((AC152*AW152*I152),2)*BC152),2)</f>
        <v>3.21</v>
      </c>
      <c r="Q152">
        <f>(ROUND((ROUND(((ET152)*AV152*I152),2)*BB152),2)+ROUND((ROUND(((AE152-(EU152))*AV152*I152),2)*BS152),2))</f>
        <v>0</v>
      </c>
      <c r="R152">
        <f>ROUND((ROUND((AE152*AV152*I152),2)*BS152),2)</f>
        <v>0</v>
      </c>
      <c r="S152">
        <f>ROUND((ROUND((AF152*AV152*I152),2)*BA152),2)</f>
        <v>0</v>
      </c>
      <c r="T152">
        <f>ROUND(CU152*I152,2)</f>
        <v>0</v>
      </c>
      <c r="U152">
        <f>CV152*I152</f>
        <v>0</v>
      </c>
      <c r="V152">
        <f>CW152*I152</f>
        <v>0</v>
      </c>
      <c r="W152">
        <f>ROUND(CX152*I152,2)</f>
        <v>0</v>
      </c>
      <c r="X152">
        <f t="shared" si="90"/>
        <v>0</v>
      </c>
      <c r="Y152">
        <f t="shared" si="90"/>
        <v>0</v>
      </c>
      <c r="AA152">
        <v>23689695</v>
      </c>
      <c r="AB152">
        <f>ROUND((AC152+AD152+AF152),6)</f>
        <v>267.61</v>
      </c>
      <c r="AC152">
        <f>ROUND((ES152),6)</f>
        <v>267.61</v>
      </c>
      <c r="AD152">
        <f>ROUND((((ET152)-(EU152))+AE152),6)</f>
        <v>0</v>
      </c>
      <c r="AE152">
        <f t="shared" si="91"/>
        <v>0</v>
      </c>
      <c r="AF152">
        <f t="shared" si="91"/>
        <v>0</v>
      </c>
      <c r="AG152">
        <f>ROUND((AP152),6)</f>
        <v>0</v>
      </c>
      <c r="AH152">
        <f t="shared" si="92"/>
        <v>0</v>
      </c>
      <c r="AI152">
        <f t="shared" si="92"/>
        <v>0</v>
      </c>
      <c r="AJ152">
        <f>(AS152)</f>
        <v>0</v>
      </c>
      <c r="AK152">
        <v>267.61</v>
      </c>
      <c r="AL152">
        <v>267.61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1</v>
      </c>
      <c r="AW152">
        <v>1</v>
      </c>
      <c r="AZ152">
        <v>1</v>
      </c>
      <c r="BA152">
        <v>1</v>
      </c>
      <c r="BB152">
        <v>1</v>
      </c>
      <c r="BC152">
        <v>1</v>
      </c>
      <c r="BD152" t="s">
        <v>3</v>
      </c>
      <c r="BE152" t="s">
        <v>3</v>
      </c>
      <c r="BF152" t="s">
        <v>3</v>
      </c>
      <c r="BG152" t="s">
        <v>3</v>
      </c>
      <c r="BH152">
        <v>3</v>
      </c>
      <c r="BI152">
        <v>1</v>
      </c>
      <c r="BJ152" t="s">
        <v>196</v>
      </c>
      <c r="BM152">
        <v>1617</v>
      </c>
      <c r="BN152">
        <v>0</v>
      </c>
      <c r="BO152" t="s">
        <v>3</v>
      </c>
      <c r="BP152">
        <v>0</v>
      </c>
      <c r="BQ152">
        <v>200</v>
      </c>
      <c r="BR152">
        <v>0</v>
      </c>
      <c r="BS152">
        <v>1</v>
      </c>
      <c r="BT152">
        <v>1</v>
      </c>
      <c r="BU152">
        <v>1</v>
      </c>
      <c r="BV152">
        <v>1</v>
      </c>
      <c r="BW152">
        <v>1</v>
      </c>
      <c r="BX152">
        <v>1</v>
      </c>
      <c r="BY152" t="s">
        <v>3</v>
      </c>
      <c r="BZ152">
        <v>0</v>
      </c>
      <c r="CA152">
        <v>0</v>
      </c>
      <c r="CE152">
        <v>30</v>
      </c>
      <c r="CF152">
        <v>0</v>
      </c>
      <c r="CG152">
        <v>0</v>
      </c>
      <c r="CM152">
        <v>0</v>
      </c>
      <c r="CN152" t="s">
        <v>3</v>
      </c>
      <c r="CO152">
        <v>0</v>
      </c>
      <c r="CP152">
        <f>(P152+Q152+S152)</f>
        <v>3.21</v>
      </c>
      <c r="CQ152">
        <f>ROUND((ROUND((AC152*AW152*1),2)*BC152),2)</f>
        <v>267.61</v>
      </c>
      <c r="CR152">
        <f>(ROUND((ROUND(((ET152)*AV152*1),2)*BB152),2)+ROUND((ROUND(((AE152-(EU152))*AV152*1),2)*BS152),2))</f>
        <v>0</v>
      </c>
      <c r="CS152">
        <f>ROUND((ROUND((AE152*AV152*1),2)*BS152),2)</f>
        <v>0</v>
      </c>
      <c r="CT152">
        <f>ROUND((ROUND((AF152*AV152*1),2)*BA152),2)</f>
        <v>0</v>
      </c>
      <c r="CU152">
        <f>AG152</f>
        <v>0</v>
      </c>
      <c r="CV152">
        <f>(AH152*AV152)</f>
        <v>0</v>
      </c>
      <c r="CW152">
        <f t="shared" si="93"/>
        <v>0</v>
      </c>
      <c r="CX152">
        <f t="shared" si="93"/>
        <v>0</v>
      </c>
      <c r="CY152">
        <f>S152*(BZ152/100)</f>
        <v>0</v>
      </c>
      <c r="CZ152">
        <f>S152*(CA152/100)</f>
        <v>0</v>
      </c>
      <c r="DC152" t="s">
        <v>3</v>
      </c>
      <c r="DD152" t="s">
        <v>3</v>
      </c>
      <c r="DE152" t="s">
        <v>3</v>
      </c>
      <c r="DF152" t="s">
        <v>3</v>
      </c>
      <c r="DG152" t="s">
        <v>3</v>
      </c>
      <c r="DH152" t="s">
        <v>3</v>
      </c>
      <c r="DI152" t="s">
        <v>3</v>
      </c>
      <c r="DJ152" t="s">
        <v>3</v>
      </c>
      <c r="DK152" t="s">
        <v>3</v>
      </c>
      <c r="DL152" t="s">
        <v>3</v>
      </c>
      <c r="DM152" t="s">
        <v>3</v>
      </c>
      <c r="DN152">
        <v>0</v>
      </c>
      <c r="DO152">
        <v>0</v>
      </c>
      <c r="DP152">
        <v>1</v>
      </c>
      <c r="DQ152">
        <v>1</v>
      </c>
      <c r="DU152">
        <v>1003</v>
      </c>
      <c r="DV152" t="s">
        <v>195</v>
      </c>
      <c r="DW152" t="s">
        <v>195</v>
      </c>
      <c r="DX152">
        <v>1</v>
      </c>
      <c r="DZ152" t="s">
        <v>3</v>
      </c>
      <c r="EA152" t="s">
        <v>3</v>
      </c>
      <c r="EB152" t="s">
        <v>3</v>
      </c>
      <c r="EC152" t="s">
        <v>3</v>
      </c>
      <c r="EE152">
        <v>22828458</v>
      </c>
      <c r="EF152">
        <v>200</v>
      </c>
      <c r="EG152" t="s">
        <v>189</v>
      </c>
      <c r="EH152">
        <v>0</v>
      </c>
      <c r="EI152" t="s">
        <v>3</v>
      </c>
      <c r="EJ152">
        <v>1</v>
      </c>
      <c r="EK152">
        <v>1617</v>
      </c>
      <c r="EL152" t="s">
        <v>190</v>
      </c>
      <c r="EM152" t="s">
        <v>191</v>
      </c>
      <c r="EO152" t="s">
        <v>3</v>
      </c>
      <c r="EQ152">
        <v>0</v>
      </c>
      <c r="ER152">
        <v>267.61</v>
      </c>
      <c r="ES152">
        <v>267.61</v>
      </c>
      <c r="ET152">
        <v>0</v>
      </c>
      <c r="EU152">
        <v>0</v>
      </c>
      <c r="EV152">
        <v>0</v>
      </c>
      <c r="EW152">
        <v>0</v>
      </c>
      <c r="EX152">
        <v>0</v>
      </c>
      <c r="EY152">
        <v>0</v>
      </c>
      <c r="FQ152">
        <v>0</v>
      </c>
      <c r="FR152">
        <f>ROUND(IF(AND(BH152=3,BI152=3),P152,0),2)</f>
        <v>0</v>
      </c>
      <c r="FS152">
        <v>0</v>
      </c>
      <c r="FX152">
        <v>0</v>
      </c>
      <c r="FY152">
        <v>0</v>
      </c>
      <c r="GA152" t="s">
        <v>3</v>
      </c>
      <c r="GD152">
        <v>0</v>
      </c>
      <c r="GF152">
        <v>428709873</v>
      </c>
      <c r="GG152">
        <v>2</v>
      </c>
      <c r="GH152">
        <v>1</v>
      </c>
      <c r="GI152">
        <v>-2</v>
      </c>
      <c r="GJ152">
        <v>0</v>
      </c>
      <c r="GK152">
        <f>ROUND(R152*(R12)/100,2)</f>
        <v>0</v>
      </c>
      <c r="GL152">
        <f>ROUND(IF(AND(BH152=3,BI152=3,FS152&lt;&gt;0),P152,0),2)</f>
        <v>0</v>
      </c>
      <c r="GM152">
        <f>ROUND(O152+X152+Y152+GK152,2)+GX152</f>
        <v>3.21</v>
      </c>
      <c r="GN152">
        <f>IF(OR(BI152=0,BI152=1),ROUND(O152+X152+Y152+GK152,2),0)</f>
        <v>3.21</v>
      </c>
      <c r="GO152">
        <f>IF(BI152=2,ROUND(O152+X152+Y152+GK152,2),0)</f>
        <v>0</v>
      </c>
      <c r="GP152">
        <f>IF(BI152=4,ROUND(O152+X152+Y152+GK152,2)+GX152,0)</f>
        <v>0</v>
      </c>
      <c r="GR152">
        <v>0</v>
      </c>
      <c r="GS152">
        <v>0</v>
      </c>
      <c r="GT152">
        <v>0</v>
      </c>
      <c r="GU152" t="s">
        <v>3</v>
      </c>
      <c r="GV152">
        <f>ROUND((GT152),6)</f>
        <v>0</v>
      </c>
      <c r="GW152">
        <v>1</v>
      </c>
      <c r="GX152">
        <f>ROUND(HC152*I152,2)</f>
        <v>0</v>
      </c>
      <c r="HA152">
        <v>0</v>
      </c>
      <c r="HB152">
        <v>0</v>
      </c>
      <c r="HC152">
        <f>GV152*GW152</f>
        <v>0</v>
      </c>
      <c r="HE152" t="s">
        <v>3</v>
      </c>
      <c r="HF152" t="s">
        <v>3</v>
      </c>
      <c r="IK152">
        <v>0</v>
      </c>
    </row>
    <row r="154" spans="1:245" x14ac:dyDescent="0.2">
      <c r="A154" s="2">
        <v>51</v>
      </c>
      <c r="B154" s="2">
        <f>B145</f>
        <v>1</v>
      </c>
      <c r="C154" s="2">
        <f>A145</f>
        <v>4</v>
      </c>
      <c r="D154" s="2">
        <f>ROW(A145)</f>
        <v>145</v>
      </c>
      <c r="E154" s="2"/>
      <c r="F154" s="2" t="str">
        <f>IF(F145&lt;&gt;"",F145,"")</f>
        <v>Новый раздел</v>
      </c>
      <c r="G154" s="2" t="str">
        <f>IF(G145&lt;&gt;"",G145,"")</f>
        <v>Материалы, не учтенные ценником.</v>
      </c>
      <c r="H154" s="2">
        <v>0</v>
      </c>
      <c r="I154" s="2"/>
      <c r="J154" s="2"/>
      <c r="K154" s="2"/>
      <c r="L154" s="2"/>
      <c r="M154" s="2"/>
      <c r="N154" s="2"/>
      <c r="O154" s="2">
        <f t="shared" ref="O154:T154" si="94">ROUND(AB154,2)</f>
        <v>30036.87</v>
      </c>
      <c r="P154" s="2">
        <f t="shared" si="94"/>
        <v>30036.87</v>
      </c>
      <c r="Q154" s="2">
        <f t="shared" si="94"/>
        <v>0</v>
      </c>
      <c r="R154" s="2">
        <f t="shared" si="94"/>
        <v>0</v>
      </c>
      <c r="S154" s="2">
        <f t="shared" si="94"/>
        <v>0</v>
      </c>
      <c r="T154" s="2">
        <f t="shared" si="94"/>
        <v>0</v>
      </c>
      <c r="U154" s="2">
        <f>AH154</f>
        <v>0</v>
      </c>
      <c r="V154" s="2">
        <f>AI154</f>
        <v>0</v>
      </c>
      <c r="W154" s="2">
        <f>ROUND(AJ154,2)</f>
        <v>0</v>
      </c>
      <c r="X154" s="2">
        <f>ROUND(AK154,2)</f>
        <v>0</v>
      </c>
      <c r="Y154" s="2">
        <f>ROUND(AL154,2)</f>
        <v>0</v>
      </c>
      <c r="Z154" s="2"/>
      <c r="AA154" s="2"/>
      <c r="AB154" s="2">
        <f>ROUND(SUMIF(AA149:AA152,"=23689695",O149:O152),2)</f>
        <v>30036.87</v>
      </c>
      <c r="AC154" s="2">
        <f>ROUND(SUMIF(AA149:AA152,"=23689695",P149:P152),2)</f>
        <v>30036.87</v>
      </c>
      <c r="AD154" s="2">
        <f>ROUND(SUMIF(AA149:AA152,"=23689695",Q149:Q152),2)</f>
        <v>0</v>
      </c>
      <c r="AE154" s="2">
        <f>ROUND(SUMIF(AA149:AA152,"=23689695",R149:R152),2)</f>
        <v>0</v>
      </c>
      <c r="AF154" s="2">
        <f>ROUND(SUMIF(AA149:AA152,"=23689695",S149:S152),2)</f>
        <v>0</v>
      </c>
      <c r="AG154" s="2">
        <f>ROUND(SUMIF(AA149:AA152,"=23689695",T149:T152),2)</f>
        <v>0</v>
      </c>
      <c r="AH154" s="2">
        <f>SUMIF(AA149:AA152,"=23689695",U149:U152)</f>
        <v>0</v>
      </c>
      <c r="AI154" s="2">
        <f>SUMIF(AA149:AA152,"=23689695",V149:V152)</f>
        <v>0</v>
      </c>
      <c r="AJ154" s="2">
        <f>ROUND(SUMIF(AA149:AA152,"=23689695",W149:W152),2)</f>
        <v>0</v>
      </c>
      <c r="AK154" s="2">
        <f>ROUND(SUMIF(AA149:AA152,"=23689695",X149:X152),2)</f>
        <v>0</v>
      </c>
      <c r="AL154" s="2">
        <f>ROUND(SUMIF(AA149:AA152,"=23689695",Y149:Y152),2)</f>
        <v>0</v>
      </c>
      <c r="AM154" s="2"/>
      <c r="AN154" s="2"/>
      <c r="AO154" s="2">
        <f t="shared" ref="AO154:BD154" si="95">ROUND(BX154,2)</f>
        <v>0</v>
      </c>
      <c r="AP154" s="2">
        <f t="shared" si="95"/>
        <v>0</v>
      </c>
      <c r="AQ154" s="2">
        <f t="shared" si="95"/>
        <v>0</v>
      </c>
      <c r="AR154" s="2">
        <f t="shared" si="95"/>
        <v>30036.87</v>
      </c>
      <c r="AS154" s="2">
        <f t="shared" si="95"/>
        <v>5182.8900000000003</v>
      </c>
      <c r="AT154" s="2">
        <f t="shared" si="95"/>
        <v>24853.98</v>
      </c>
      <c r="AU154" s="2">
        <f t="shared" si="95"/>
        <v>0</v>
      </c>
      <c r="AV154" s="2">
        <f t="shared" si="95"/>
        <v>30036.87</v>
      </c>
      <c r="AW154" s="2">
        <f t="shared" si="95"/>
        <v>30036.87</v>
      </c>
      <c r="AX154" s="2">
        <f t="shared" si="95"/>
        <v>0</v>
      </c>
      <c r="AY154" s="2">
        <f t="shared" si="95"/>
        <v>30036.87</v>
      </c>
      <c r="AZ154" s="2">
        <f t="shared" si="95"/>
        <v>0</v>
      </c>
      <c r="BA154" s="2">
        <f t="shared" si="95"/>
        <v>0</v>
      </c>
      <c r="BB154" s="2">
        <f t="shared" si="95"/>
        <v>0</v>
      </c>
      <c r="BC154" s="2">
        <f t="shared" si="95"/>
        <v>0</v>
      </c>
      <c r="BD154" s="2">
        <f t="shared" si="95"/>
        <v>0</v>
      </c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>
        <f>ROUND(SUMIF(AA149:AA152,"=23689695",FQ149:FQ152),2)</f>
        <v>0</v>
      </c>
      <c r="BY154" s="2">
        <f>ROUND(SUMIF(AA149:AA152,"=23689695",FR149:FR152),2)</f>
        <v>0</v>
      </c>
      <c r="BZ154" s="2">
        <f>ROUND(SUMIF(AA149:AA152,"=23689695",GL149:GL152),2)</f>
        <v>0</v>
      </c>
      <c r="CA154" s="2">
        <f>ROUND(SUMIF(AA149:AA152,"=23689695",GM149:GM152),2)</f>
        <v>30036.87</v>
      </c>
      <c r="CB154" s="2">
        <f>ROUND(SUMIF(AA149:AA152,"=23689695",GN149:GN152),2)</f>
        <v>5182.8900000000003</v>
      </c>
      <c r="CC154" s="2">
        <f>ROUND(SUMIF(AA149:AA152,"=23689695",GO149:GO152),2)</f>
        <v>24853.98</v>
      </c>
      <c r="CD154" s="2">
        <f>ROUND(SUMIF(AA149:AA152,"=23689695",GP149:GP152),2)</f>
        <v>0</v>
      </c>
      <c r="CE154" s="2">
        <f>AC154-BX154</f>
        <v>30036.87</v>
      </c>
      <c r="CF154" s="2">
        <f>AC154-BY154</f>
        <v>30036.87</v>
      </c>
      <c r="CG154" s="2">
        <f>BX154-BZ154</f>
        <v>0</v>
      </c>
      <c r="CH154" s="2">
        <f>AC154-BX154-BY154+BZ154</f>
        <v>30036.87</v>
      </c>
      <c r="CI154" s="2">
        <f>BY154-BZ154</f>
        <v>0</v>
      </c>
      <c r="CJ154" s="2">
        <f>ROUND(SUMIF(AA149:AA152,"=23689695",GX149:GX152),2)</f>
        <v>0</v>
      </c>
      <c r="CK154" s="2">
        <f>ROUND(SUMIF(AA149:AA152,"=23689695",GY149:GY152),2)</f>
        <v>0</v>
      </c>
      <c r="CL154" s="2">
        <f>ROUND(SUMIF(AA149:AA152,"=23689695",GZ149:GZ152),2)</f>
        <v>0</v>
      </c>
      <c r="CM154" s="2">
        <f>ROUND(SUMIF(AA149:AA152,"=23689695",HD149:HD152),2)</f>
        <v>0</v>
      </c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>
        <v>0</v>
      </c>
    </row>
    <row r="156" spans="1:245" x14ac:dyDescent="0.2">
      <c r="A156" s="4">
        <v>50</v>
      </c>
      <c r="B156" s="4">
        <v>0</v>
      </c>
      <c r="C156" s="4">
        <v>0</v>
      </c>
      <c r="D156" s="4">
        <v>1</v>
      </c>
      <c r="E156" s="4">
        <v>201</v>
      </c>
      <c r="F156" s="4">
        <f>ROUND(Source!O154,O156)</f>
        <v>30036.87</v>
      </c>
      <c r="G156" s="4" t="s">
        <v>73</v>
      </c>
      <c r="H156" s="4" t="s">
        <v>74</v>
      </c>
      <c r="I156" s="4"/>
      <c r="J156" s="4"/>
      <c r="K156" s="4">
        <v>201</v>
      </c>
      <c r="L156" s="4">
        <v>1</v>
      </c>
      <c r="M156" s="4">
        <v>3</v>
      </c>
      <c r="N156" s="4" t="s">
        <v>3</v>
      </c>
      <c r="O156" s="4">
        <v>2</v>
      </c>
      <c r="P156" s="4"/>
      <c r="Q156" s="4"/>
      <c r="R156" s="4"/>
      <c r="S156" s="4"/>
      <c r="T156" s="4"/>
      <c r="U156" s="4"/>
      <c r="V156" s="4"/>
      <c r="W156" s="4"/>
    </row>
    <row r="157" spans="1:245" x14ac:dyDescent="0.2">
      <c r="A157" s="4">
        <v>50</v>
      </c>
      <c r="B157" s="4">
        <v>0</v>
      </c>
      <c r="C157" s="4">
        <v>0</v>
      </c>
      <c r="D157" s="4">
        <v>1</v>
      </c>
      <c r="E157" s="4">
        <v>202</v>
      </c>
      <c r="F157" s="4">
        <f>ROUND(Source!P154,O157)</f>
        <v>30036.87</v>
      </c>
      <c r="G157" s="4" t="s">
        <v>75</v>
      </c>
      <c r="H157" s="4" t="s">
        <v>76</v>
      </c>
      <c r="I157" s="4"/>
      <c r="J157" s="4"/>
      <c r="K157" s="4">
        <v>202</v>
      </c>
      <c r="L157" s="4">
        <v>2</v>
      </c>
      <c r="M157" s="4">
        <v>3</v>
      </c>
      <c r="N157" s="4" t="s">
        <v>3</v>
      </c>
      <c r="O157" s="4">
        <v>2</v>
      </c>
      <c r="P157" s="4"/>
      <c r="Q157" s="4"/>
      <c r="R157" s="4"/>
      <c r="S157" s="4"/>
      <c r="T157" s="4"/>
      <c r="U157" s="4"/>
      <c r="V157" s="4"/>
      <c r="W157" s="4"/>
    </row>
    <row r="158" spans="1:245" x14ac:dyDescent="0.2">
      <c r="A158" s="4">
        <v>50</v>
      </c>
      <c r="B158" s="4">
        <v>0</v>
      </c>
      <c r="C158" s="4">
        <v>0</v>
      </c>
      <c r="D158" s="4">
        <v>1</v>
      </c>
      <c r="E158" s="4">
        <v>222</v>
      </c>
      <c r="F158" s="4">
        <f>ROUND(Source!AO154,O158)</f>
        <v>0</v>
      </c>
      <c r="G158" s="4" t="s">
        <v>77</v>
      </c>
      <c r="H158" s="4" t="s">
        <v>78</v>
      </c>
      <c r="I158" s="4"/>
      <c r="J158" s="4"/>
      <c r="K158" s="4">
        <v>222</v>
      </c>
      <c r="L158" s="4">
        <v>3</v>
      </c>
      <c r="M158" s="4">
        <v>3</v>
      </c>
      <c r="N158" s="4" t="s">
        <v>3</v>
      </c>
      <c r="O158" s="4">
        <v>2</v>
      </c>
      <c r="P158" s="4"/>
      <c r="Q158" s="4"/>
      <c r="R158" s="4"/>
      <c r="S158" s="4"/>
      <c r="T158" s="4"/>
      <c r="U158" s="4"/>
      <c r="V158" s="4"/>
      <c r="W158" s="4"/>
    </row>
    <row r="159" spans="1:245" x14ac:dyDescent="0.2">
      <c r="A159" s="4">
        <v>50</v>
      </c>
      <c r="B159" s="4">
        <v>0</v>
      </c>
      <c r="C159" s="4">
        <v>0</v>
      </c>
      <c r="D159" s="4">
        <v>1</v>
      </c>
      <c r="E159" s="4">
        <v>225</v>
      </c>
      <c r="F159" s="4">
        <f>ROUND(Source!AV154,O159)</f>
        <v>30036.87</v>
      </c>
      <c r="G159" s="4" t="s">
        <v>79</v>
      </c>
      <c r="H159" s="4" t="s">
        <v>80</v>
      </c>
      <c r="I159" s="4"/>
      <c r="J159" s="4"/>
      <c r="K159" s="4">
        <v>225</v>
      </c>
      <c r="L159" s="4">
        <v>4</v>
      </c>
      <c r="M159" s="4">
        <v>3</v>
      </c>
      <c r="N159" s="4" t="s">
        <v>3</v>
      </c>
      <c r="O159" s="4">
        <v>2</v>
      </c>
      <c r="P159" s="4"/>
      <c r="Q159" s="4"/>
      <c r="R159" s="4"/>
      <c r="S159" s="4"/>
      <c r="T159" s="4"/>
      <c r="U159" s="4"/>
      <c r="V159" s="4"/>
      <c r="W159" s="4"/>
    </row>
    <row r="160" spans="1:245" x14ac:dyDescent="0.2">
      <c r="A160" s="4">
        <v>50</v>
      </c>
      <c r="B160" s="4">
        <v>0</v>
      </c>
      <c r="C160" s="4">
        <v>0</v>
      </c>
      <c r="D160" s="4">
        <v>1</v>
      </c>
      <c r="E160" s="4">
        <v>226</v>
      </c>
      <c r="F160" s="4">
        <f>ROUND(Source!AW154,O160)</f>
        <v>30036.87</v>
      </c>
      <c r="G160" s="4" t="s">
        <v>81</v>
      </c>
      <c r="H160" s="4" t="s">
        <v>82</v>
      </c>
      <c r="I160" s="4"/>
      <c r="J160" s="4"/>
      <c r="K160" s="4">
        <v>226</v>
      </c>
      <c r="L160" s="4">
        <v>5</v>
      </c>
      <c r="M160" s="4">
        <v>3</v>
      </c>
      <c r="N160" s="4" t="s">
        <v>3</v>
      </c>
      <c r="O160" s="4">
        <v>2</v>
      </c>
      <c r="P160" s="4"/>
      <c r="Q160" s="4"/>
      <c r="R160" s="4"/>
      <c r="S160" s="4"/>
      <c r="T160" s="4"/>
      <c r="U160" s="4"/>
      <c r="V160" s="4"/>
      <c r="W160" s="4"/>
    </row>
    <row r="161" spans="1:23" x14ac:dyDescent="0.2">
      <c r="A161" s="4">
        <v>50</v>
      </c>
      <c r="B161" s="4">
        <v>0</v>
      </c>
      <c r="C161" s="4">
        <v>0</v>
      </c>
      <c r="D161" s="4">
        <v>1</v>
      </c>
      <c r="E161" s="4">
        <v>227</v>
      </c>
      <c r="F161" s="4">
        <f>ROUND(Source!AX154,O161)</f>
        <v>0</v>
      </c>
      <c r="G161" s="4" t="s">
        <v>83</v>
      </c>
      <c r="H161" s="4" t="s">
        <v>84</v>
      </c>
      <c r="I161" s="4"/>
      <c r="J161" s="4"/>
      <c r="K161" s="4">
        <v>227</v>
      </c>
      <c r="L161" s="4">
        <v>6</v>
      </c>
      <c r="M161" s="4">
        <v>3</v>
      </c>
      <c r="N161" s="4" t="s">
        <v>3</v>
      </c>
      <c r="O161" s="4">
        <v>2</v>
      </c>
      <c r="P161" s="4"/>
      <c r="Q161" s="4"/>
      <c r="R161" s="4"/>
      <c r="S161" s="4"/>
      <c r="T161" s="4"/>
      <c r="U161" s="4"/>
      <c r="V161" s="4"/>
      <c r="W161" s="4"/>
    </row>
    <row r="162" spans="1:23" x14ac:dyDescent="0.2">
      <c r="A162" s="4">
        <v>50</v>
      </c>
      <c r="B162" s="4">
        <v>0</v>
      </c>
      <c r="C162" s="4">
        <v>0</v>
      </c>
      <c r="D162" s="4">
        <v>1</v>
      </c>
      <c r="E162" s="4">
        <v>228</v>
      </c>
      <c r="F162" s="4">
        <f>ROUND(Source!AY154,O162)</f>
        <v>30036.87</v>
      </c>
      <c r="G162" s="4" t="s">
        <v>85</v>
      </c>
      <c r="H162" s="4" t="s">
        <v>86</v>
      </c>
      <c r="I162" s="4"/>
      <c r="J162" s="4"/>
      <c r="K162" s="4">
        <v>228</v>
      </c>
      <c r="L162" s="4">
        <v>7</v>
      </c>
      <c r="M162" s="4">
        <v>3</v>
      </c>
      <c r="N162" s="4" t="s">
        <v>3</v>
      </c>
      <c r="O162" s="4">
        <v>2</v>
      </c>
      <c r="P162" s="4"/>
      <c r="Q162" s="4"/>
      <c r="R162" s="4"/>
      <c r="S162" s="4"/>
      <c r="T162" s="4"/>
      <c r="U162" s="4"/>
      <c r="V162" s="4"/>
      <c r="W162" s="4"/>
    </row>
    <row r="163" spans="1:23" x14ac:dyDescent="0.2">
      <c r="A163" s="4">
        <v>50</v>
      </c>
      <c r="B163" s="4">
        <v>0</v>
      </c>
      <c r="C163" s="4">
        <v>0</v>
      </c>
      <c r="D163" s="4">
        <v>1</v>
      </c>
      <c r="E163" s="4">
        <v>216</v>
      </c>
      <c r="F163" s="4">
        <f>ROUND(Source!AP154,O163)</f>
        <v>0</v>
      </c>
      <c r="G163" s="4" t="s">
        <v>87</v>
      </c>
      <c r="H163" s="4" t="s">
        <v>88</v>
      </c>
      <c r="I163" s="4"/>
      <c r="J163" s="4"/>
      <c r="K163" s="4">
        <v>216</v>
      </c>
      <c r="L163" s="4">
        <v>8</v>
      </c>
      <c r="M163" s="4">
        <v>3</v>
      </c>
      <c r="N163" s="4" t="s">
        <v>3</v>
      </c>
      <c r="O163" s="4">
        <v>2</v>
      </c>
      <c r="P163" s="4"/>
      <c r="Q163" s="4"/>
      <c r="R163" s="4"/>
      <c r="S163" s="4"/>
      <c r="T163" s="4"/>
      <c r="U163" s="4"/>
      <c r="V163" s="4"/>
      <c r="W163" s="4"/>
    </row>
    <row r="164" spans="1:23" x14ac:dyDescent="0.2">
      <c r="A164" s="4">
        <v>50</v>
      </c>
      <c r="B164" s="4">
        <v>0</v>
      </c>
      <c r="C164" s="4">
        <v>0</v>
      </c>
      <c r="D164" s="4">
        <v>1</v>
      </c>
      <c r="E164" s="4">
        <v>223</v>
      </c>
      <c r="F164" s="4">
        <f>ROUND(Source!AQ154,O164)</f>
        <v>0</v>
      </c>
      <c r="G164" s="4" t="s">
        <v>89</v>
      </c>
      <c r="H164" s="4" t="s">
        <v>90</v>
      </c>
      <c r="I164" s="4"/>
      <c r="J164" s="4"/>
      <c r="K164" s="4">
        <v>223</v>
      </c>
      <c r="L164" s="4">
        <v>9</v>
      </c>
      <c r="M164" s="4">
        <v>3</v>
      </c>
      <c r="N164" s="4" t="s">
        <v>3</v>
      </c>
      <c r="O164" s="4">
        <v>2</v>
      </c>
      <c r="P164" s="4"/>
      <c r="Q164" s="4"/>
      <c r="R164" s="4"/>
      <c r="S164" s="4"/>
      <c r="T164" s="4"/>
      <c r="U164" s="4"/>
      <c r="V164" s="4"/>
      <c r="W164" s="4"/>
    </row>
    <row r="165" spans="1:23" x14ac:dyDescent="0.2">
      <c r="A165" s="4">
        <v>50</v>
      </c>
      <c r="B165" s="4">
        <v>0</v>
      </c>
      <c r="C165" s="4">
        <v>0</v>
      </c>
      <c r="D165" s="4">
        <v>1</v>
      </c>
      <c r="E165" s="4">
        <v>229</v>
      </c>
      <c r="F165" s="4">
        <f>ROUND(Source!AZ154,O165)</f>
        <v>0</v>
      </c>
      <c r="G165" s="4" t="s">
        <v>91</v>
      </c>
      <c r="H165" s="4" t="s">
        <v>92</v>
      </c>
      <c r="I165" s="4"/>
      <c r="J165" s="4"/>
      <c r="K165" s="4">
        <v>229</v>
      </c>
      <c r="L165" s="4">
        <v>10</v>
      </c>
      <c r="M165" s="4">
        <v>3</v>
      </c>
      <c r="N165" s="4" t="s">
        <v>3</v>
      </c>
      <c r="O165" s="4">
        <v>2</v>
      </c>
      <c r="P165" s="4"/>
      <c r="Q165" s="4"/>
      <c r="R165" s="4"/>
      <c r="S165" s="4"/>
      <c r="T165" s="4"/>
      <c r="U165" s="4"/>
      <c r="V165" s="4"/>
      <c r="W165" s="4"/>
    </row>
    <row r="166" spans="1:23" x14ac:dyDescent="0.2">
      <c r="A166" s="4">
        <v>50</v>
      </c>
      <c r="B166" s="4">
        <v>0</v>
      </c>
      <c r="C166" s="4">
        <v>0</v>
      </c>
      <c r="D166" s="4">
        <v>1</v>
      </c>
      <c r="E166" s="4">
        <v>203</v>
      </c>
      <c r="F166" s="4">
        <f>ROUND(Source!Q154,O166)</f>
        <v>0</v>
      </c>
      <c r="G166" s="4" t="s">
        <v>93</v>
      </c>
      <c r="H166" s="4" t="s">
        <v>94</v>
      </c>
      <c r="I166" s="4"/>
      <c r="J166" s="4"/>
      <c r="K166" s="4">
        <v>203</v>
      </c>
      <c r="L166" s="4">
        <v>11</v>
      </c>
      <c r="M166" s="4">
        <v>3</v>
      </c>
      <c r="N166" s="4" t="s">
        <v>3</v>
      </c>
      <c r="O166" s="4">
        <v>2</v>
      </c>
      <c r="P166" s="4"/>
      <c r="Q166" s="4"/>
      <c r="R166" s="4"/>
      <c r="S166" s="4"/>
      <c r="T166" s="4"/>
      <c r="U166" s="4"/>
      <c r="V166" s="4"/>
      <c r="W166" s="4"/>
    </row>
    <row r="167" spans="1:23" x14ac:dyDescent="0.2">
      <c r="A167" s="4">
        <v>50</v>
      </c>
      <c r="B167" s="4">
        <v>0</v>
      </c>
      <c r="C167" s="4">
        <v>0</v>
      </c>
      <c r="D167" s="4">
        <v>1</v>
      </c>
      <c r="E167" s="4">
        <v>231</v>
      </c>
      <c r="F167" s="4">
        <f>ROUND(Source!BB154,O167)</f>
        <v>0</v>
      </c>
      <c r="G167" s="4" t="s">
        <v>95</v>
      </c>
      <c r="H167" s="4" t="s">
        <v>96</v>
      </c>
      <c r="I167" s="4"/>
      <c r="J167" s="4"/>
      <c r="K167" s="4">
        <v>231</v>
      </c>
      <c r="L167" s="4">
        <v>12</v>
      </c>
      <c r="M167" s="4">
        <v>3</v>
      </c>
      <c r="N167" s="4" t="s">
        <v>3</v>
      </c>
      <c r="O167" s="4">
        <v>2</v>
      </c>
      <c r="P167" s="4"/>
      <c r="Q167" s="4"/>
      <c r="R167" s="4"/>
      <c r="S167" s="4"/>
      <c r="T167" s="4"/>
      <c r="U167" s="4"/>
      <c r="V167" s="4"/>
      <c r="W167" s="4"/>
    </row>
    <row r="168" spans="1:23" x14ac:dyDescent="0.2">
      <c r="A168" s="4">
        <v>50</v>
      </c>
      <c r="B168" s="4">
        <v>0</v>
      </c>
      <c r="C168" s="4">
        <v>0</v>
      </c>
      <c r="D168" s="4">
        <v>1</v>
      </c>
      <c r="E168" s="4">
        <v>204</v>
      </c>
      <c r="F168" s="4">
        <f>ROUND(Source!R154,O168)</f>
        <v>0</v>
      </c>
      <c r="G168" s="4" t="s">
        <v>97</v>
      </c>
      <c r="H168" s="4" t="s">
        <v>98</v>
      </c>
      <c r="I168" s="4"/>
      <c r="J168" s="4"/>
      <c r="K168" s="4">
        <v>204</v>
      </c>
      <c r="L168" s="4">
        <v>13</v>
      </c>
      <c r="M168" s="4">
        <v>3</v>
      </c>
      <c r="N168" s="4" t="s">
        <v>3</v>
      </c>
      <c r="O168" s="4">
        <v>2</v>
      </c>
      <c r="P168" s="4"/>
      <c r="Q168" s="4"/>
      <c r="R168" s="4"/>
      <c r="S168" s="4"/>
      <c r="T168" s="4"/>
      <c r="U168" s="4"/>
      <c r="V168" s="4"/>
      <c r="W168" s="4"/>
    </row>
    <row r="169" spans="1:23" x14ac:dyDescent="0.2">
      <c r="A169" s="4">
        <v>50</v>
      </c>
      <c r="B169" s="4">
        <v>0</v>
      </c>
      <c r="C169" s="4">
        <v>0</v>
      </c>
      <c r="D169" s="4">
        <v>1</v>
      </c>
      <c r="E169" s="4">
        <v>205</v>
      </c>
      <c r="F169" s="4">
        <f>ROUND(Source!S154,O169)</f>
        <v>0</v>
      </c>
      <c r="G169" s="4" t="s">
        <v>99</v>
      </c>
      <c r="H169" s="4" t="s">
        <v>100</v>
      </c>
      <c r="I169" s="4"/>
      <c r="J169" s="4"/>
      <c r="K169" s="4">
        <v>205</v>
      </c>
      <c r="L169" s="4">
        <v>14</v>
      </c>
      <c r="M169" s="4">
        <v>3</v>
      </c>
      <c r="N169" s="4" t="s">
        <v>3</v>
      </c>
      <c r="O169" s="4">
        <v>2</v>
      </c>
      <c r="P169" s="4"/>
      <c r="Q169" s="4"/>
      <c r="R169" s="4"/>
      <c r="S169" s="4"/>
      <c r="T169" s="4"/>
      <c r="U169" s="4"/>
      <c r="V169" s="4"/>
      <c r="W169" s="4"/>
    </row>
    <row r="170" spans="1:23" x14ac:dyDescent="0.2">
      <c r="A170" s="4">
        <v>50</v>
      </c>
      <c r="B170" s="4">
        <v>0</v>
      </c>
      <c r="C170" s="4">
        <v>0</v>
      </c>
      <c r="D170" s="4">
        <v>1</v>
      </c>
      <c r="E170" s="4">
        <v>232</v>
      </c>
      <c r="F170" s="4">
        <f>ROUND(Source!BC154,O170)</f>
        <v>0</v>
      </c>
      <c r="G170" s="4" t="s">
        <v>101</v>
      </c>
      <c r="H170" s="4" t="s">
        <v>102</v>
      </c>
      <c r="I170" s="4"/>
      <c r="J170" s="4"/>
      <c r="K170" s="4">
        <v>232</v>
      </c>
      <c r="L170" s="4">
        <v>15</v>
      </c>
      <c r="M170" s="4">
        <v>3</v>
      </c>
      <c r="N170" s="4" t="s">
        <v>3</v>
      </c>
      <c r="O170" s="4">
        <v>2</v>
      </c>
      <c r="P170" s="4"/>
      <c r="Q170" s="4"/>
      <c r="R170" s="4"/>
      <c r="S170" s="4"/>
      <c r="T170" s="4"/>
      <c r="U170" s="4"/>
      <c r="V170" s="4"/>
      <c r="W170" s="4"/>
    </row>
    <row r="171" spans="1:23" x14ac:dyDescent="0.2">
      <c r="A171" s="4">
        <v>50</v>
      </c>
      <c r="B171" s="4">
        <v>0</v>
      </c>
      <c r="C171" s="4">
        <v>0</v>
      </c>
      <c r="D171" s="4">
        <v>1</v>
      </c>
      <c r="E171" s="4">
        <v>214</v>
      </c>
      <c r="F171" s="4">
        <f>ROUND(Source!AS154,O171)</f>
        <v>5182.8900000000003</v>
      </c>
      <c r="G171" s="4" t="s">
        <v>103</v>
      </c>
      <c r="H171" s="4" t="s">
        <v>104</v>
      </c>
      <c r="I171" s="4"/>
      <c r="J171" s="4"/>
      <c r="K171" s="4">
        <v>214</v>
      </c>
      <c r="L171" s="4">
        <v>16</v>
      </c>
      <c r="M171" s="4">
        <v>3</v>
      </c>
      <c r="N171" s="4" t="s">
        <v>3</v>
      </c>
      <c r="O171" s="4">
        <v>2</v>
      </c>
      <c r="P171" s="4"/>
      <c r="Q171" s="4"/>
      <c r="R171" s="4"/>
      <c r="S171" s="4"/>
      <c r="T171" s="4"/>
      <c r="U171" s="4"/>
      <c r="V171" s="4"/>
      <c r="W171" s="4"/>
    </row>
    <row r="172" spans="1:23" x14ac:dyDescent="0.2">
      <c r="A172" s="4">
        <v>50</v>
      </c>
      <c r="B172" s="4">
        <v>0</v>
      </c>
      <c r="C172" s="4">
        <v>0</v>
      </c>
      <c r="D172" s="4">
        <v>1</v>
      </c>
      <c r="E172" s="4">
        <v>215</v>
      </c>
      <c r="F172" s="4">
        <f>ROUND(Source!AT154,O172)</f>
        <v>24853.98</v>
      </c>
      <c r="G172" s="4" t="s">
        <v>105</v>
      </c>
      <c r="H172" s="4" t="s">
        <v>106</v>
      </c>
      <c r="I172" s="4"/>
      <c r="J172" s="4"/>
      <c r="K172" s="4">
        <v>215</v>
      </c>
      <c r="L172" s="4">
        <v>17</v>
      </c>
      <c r="M172" s="4">
        <v>3</v>
      </c>
      <c r="N172" s="4" t="s">
        <v>3</v>
      </c>
      <c r="O172" s="4">
        <v>2</v>
      </c>
      <c r="P172" s="4"/>
      <c r="Q172" s="4"/>
      <c r="R172" s="4"/>
      <c r="S172" s="4"/>
      <c r="T172" s="4"/>
      <c r="U172" s="4"/>
      <c r="V172" s="4"/>
      <c r="W172" s="4"/>
    </row>
    <row r="173" spans="1:23" x14ac:dyDescent="0.2">
      <c r="A173" s="4">
        <v>50</v>
      </c>
      <c r="B173" s="4">
        <v>0</v>
      </c>
      <c r="C173" s="4">
        <v>0</v>
      </c>
      <c r="D173" s="4">
        <v>1</v>
      </c>
      <c r="E173" s="4">
        <v>217</v>
      </c>
      <c r="F173" s="4">
        <f>ROUND(Source!AU154,O173)</f>
        <v>0</v>
      </c>
      <c r="G173" s="4" t="s">
        <v>107</v>
      </c>
      <c r="H173" s="4" t="s">
        <v>108</v>
      </c>
      <c r="I173" s="4"/>
      <c r="J173" s="4"/>
      <c r="K173" s="4">
        <v>217</v>
      </c>
      <c r="L173" s="4">
        <v>18</v>
      </c>
      <c r="M173" s="4">
        <v>3</v>
      </c>
      <c r="N173" s="4" t="s">
        <v>3</v>
      </c>
      <c r="O173" s="4">
        <v>2</v>
      </c>
      <c r="P173" s="4"/>
      <c r="Q173" s="4"/>
      <c r="R173" s="4"/>
      <c r="S173" s="4"/>
      <c r="T173" s="4"/>
      <c r="U173" s="4"/>
      <c r="V173" s="4"/>
      <c r="W173" s="4"/>
    </row>
    <row r="174" spans="1:23" x14ac:dyDescent="0.2">
      <c r="A174" s="4">
        <v>50</v>
      </c>
      <c r="B174" s="4">
        <v>0</v>
      </c>
      <c r="C174" s="4">
        <v>0</v>
      </c>
      <c r="D174" s="4">
        <v>1</v>
      </c>
      <c r="E174" s="4">
        <v>230</v>
      </c>
      <c r="F174" s="4">
        <f>ROUND(Source!BA154,O174)</f>
        <v>0</v>
      </c>
      <c r="G174" s="4" t="s">
        <v>109</v>
      </c>
      <c r="H174" s="4" t="s">
        <v>110</v>
      </c>
      <c r="I174" s="4"/>
      <c r="J174" s="4"/>
      <c r="K174" s="4">
        <v>230</v>
      </c>
      <c r="L174" s="4">
        <v>19</v>
      </c>
      <c r="M174" s="4">
        <v>3</v>
      </c>
      <c r="N174" s="4" t="s">
        <v>3</v>
      </c>
      <c r="O174" s="4">
        <v>2</v>
      </c>
      <c r="P174" s="4"/>
      <c r="Q174" s="4"/>
      <c r="R174" s="4"/>
      <c r="S174" s="4"/>
      <c r="T174" s="4"/>
      <c r="U174" s="4"/>
      <c r="V174" s="4"/>
      <c r="W174" s="4"/>
    </row>
    <row r="175" spans="1:23" x14ac:dyDescent="0.2">
      <c r="A175" s="4">
        <v>50</v>
      </c>
      <c r="B175" s="4">
        <v>0</v>
      </c>
      <c r="C175" s="4">
        <v>0</v>
      </c>
      <c r="D175" s="4">
        <v>1</v>
      </c>
      <c r="E175" s="4">
        <v>206</v>
      </c>
      <c r="F175" s="4">
        <f>ROUND(Source!T154,O175)</f>
        <v>0</v>
      </c>
      <c r="G175" s="4" t="s">
        <v>111</v>
      </c>
      <c r="H175" s="4" t="s">
        <v>112</v>
      </c>
      <c r="I175" s="4"/>
      <c r="J175" s="4"/>
      <c r="K175" s="4">
        <v>206</v>
      </c>
      <c r="L175" s="4">
        <v>20</v>
      </c>
      <c r="M175" s="4">
        <v>3</v>
      </c>
      <c r="N175" s="4" t="s">
        <v>3</v>
      </c>
      <c r="O175" s="4">
        <v>2</v>
      </c>
      <c r="P175" s="4"/>
      <c r="Q175" s="4"/>
      <c r="R175" s="4"/>
      <c r="S175" s="4"/>
      <c r="T175" s="4"/>
      <c r="U175" s="4"/>
      <c r="V175" s="4"/>
      <c r="W175" s="4"/>
    </row>
    <row r="176" spans="1:23" x14ac:dyDescent="0.2">
      <c r="A176" s="4">
        <v>50</v>
      </c>
      <c r="B176" s="4">
        <v>0</v>
      </c>
      <c r="C176" s="4">
        <v>0</v>
      </c>
      <c r="D176" s="4">
        <v>1</v>
      </c>
      <c r="E176" s="4">
        <v>207</v>
      </c>
      <c r="F176" s="4">
        <f>Source!U154</f>
        <v>0</v>
      </c>
      <c r="G176" s="4" t="s">
        <v>113</v>
      </c>
      <c r="H176" s="4" t="s">
        <v>114</v>
      </c>
      <c r="I176" s="4"/>
      <c r="J176" s="4"/>
      <c r="K176" s="4">
        <v>207</v>
      </c>
      <c r="L176" s="4">
        <v>21</v>
      </c>
      <c r="M176" s="4">
        <v>3</v>
      </c>
      <c r="N176" s="4" t="s">
        <v>3</v>
      </c>
      <c r="O176" s="4">
        <v>-1</v>
      </c>
      <c r="P176" s="4"/>
      <c r="Q176" s="4"/>
      <c r="R176" s="4"/>
      <c r="S176" s="4"/>
      <c r="T176" s="4"/>
      <c r="U176" s="4"/>
      <c r="V176" s="4"/>
      <c r="W176" s="4"/>
    </row>
    <row r="177" spans="1:245" x14ac:dyDescent="0.2">
      <c r="A177" s="4">
        <v>50</v>
      </c>
      <c r="B177" s="4">
        <v>0</v>
      </c>
      <c r="C177" s="4">
        <v>0</v>
      </c>
      <c r="D177" s="4">
        <v>1</v>
      </c>
      <c r="E177" s="4">
        <v>208</v>
      </c>
      <c r="F177" s="4">
        <f>Source!V154</f>
        <v>0</v>
      </c>
      <c r="G177" s="4" t="s">
        <v>115</v>
      </c>
      <c r="H177" s="4" t="s">
        <v>116</v>
      </c>
      <c r="I177" s="4"/>
      <c r="J177" s="4"/>
      <c r="K177" s="4">
        <v>208</v>
      </c>
      <c r="L177" s="4">
        <v>22</v>
      </c>
      <c r="M177" s="4">
        <v>3</v>
      </c>
      <c r="N177" s="4" t="s">
        <v>3</v>
      </c>
      <c r="O177" s="4">
        <v>-1</v>
      </c>
      <c r="P177" s="4"/>
      <c r="Q177" s="4"/>
      <c r="R177" s="4"/>
      <c r="S177" s="4"/>
      <c r="T177" s="4"/>
      <c r="U177" s="4"/>
      <c r="V177" s="4"/>
      <c r="W177" s="4"/>
    </row>
    <row r="178" spans="1:245" x14ac:dyDescent="0.2">
      <c r="A178" s="4">
        <v>50</v>
      </c>
      <c r="B178" s="4">
        <v>0</v>
      </c>
      <c r="C178" s="4">
        <v>0</v>
      </c>
      <c r="D178" s="4">
        <v>1</v>
      </c>
      <c r="E178" s="4">
        <v>209</v>
      </c>
      <c r="F178" s="4">
        <f>ROUND(Source!W154,O178)</f>
        <v>0</v>
      </c>
      <c r="G178" s="4" t="s">
        <v>117</v>
      </c>
      <c r="H178" s="4" t="s">
        <v>118</v>
      </c>
      <c r="I178" s="4"/>
      <c r="J178" s="4"/>
      <c r="K178" s="4">
        <v>209</v>
      </c>
      <c r="L178" s="4">
        <v>23</v>
      </c>
      <c r="M178" s="4">
        <v>3</v>
      </c>
      <c r="N178" s="4" t="s">
        <v>3</v>
      </c>
      <c r="O178" s="4">
        <v>2</v>
      </c>
      <c r="P178" s="4"/>
      <c r="Q178" s="4"/>
      <c r="R178" s="4"/>
      <c r="S178" s="4"/>
      <c r="T178" s="4"/>
      <c r="U178" s="4"/>
      <c r="V178" s="4"/>
      <c r="W178" s="4"/>
    </row>
    <row r="179" spans="1:245" x14ac:dyDescent="0.2">
      <c r="A179" s="4">
        <v>50</v>
      </c>
      <c r="B179" s="4">
        <v>0</v>
      </c>
      <c r="C179" s="4">
        <v>0</v>
      </c>
      <c r="D179" s="4">
        <v>1</v>
      </c>
      <c r="E179" s="4">
        <v>233</v>
      </c>
      <c r="F179" s="4">
        <f>ROUND(Source!BD154,O179)</f>
        <v>0</v>
      </c>
      <c r="G179" s="4" t="s">
        <v>119</v>
      </c>
      <c r="H179" s="4" t="s">
        <v>120</v>
      </c>
      <c r="I179" s="4"/>
      <c r="J179" s="4"/>
      <c r="K179" s="4">
        <v>233</v>
      </c>
      <c r="L179" s="4">
        <v>24</v>
      </c>
      <c r="M179" s="4">
        <v>3</v>
      </c>
      <c r="N179" s="4" t="s">
        <v>3</v>
      </c>
      <c r="O179" s="4">
        <v>2</v>
      </c>
      <c r="P179" s="4"/>
      <c r="Q179" s="4"/>
      <c r="R179" s="4"/>
      <c r="S179" s="4"/>
      <c r="T179" s="4"/>
      <c r="U179" s="4"/>
      <c r="V179" s="4"/>
      <c r="W179" s="4"/>
    </row>
    <row r="180" spans="1:245" x14ac:dyDescent="0.2">
      <c r="A180" s="4">
        <v>50</v>
      </c>
      <c r="B180" s="4">
        <v>0</v>
      </c>
      <c r="C180" s="4">
        <v>0</v>
      </c>
      <c r="D180" s="4">
        <v>1</v>
      </c>
      <c r="E180" s="4">
        <v>210</v>
      </c>
      <c r="F180" s="4">
        <f>ROUND(Source!X154,O180)</f>
        <v>0</v>
      </c>
      <c r="G180" s="4" t="s">
        <v>121</v>
      </c>
      <c r="H180" s="4" t="s">
        <v>122</v>
      </c>
      <c r="I180" s="4"/>
      <c r="J180" s="4"/>
      <c r="K180" s="4">
        <v>210</v>
      </c>
      <c r="L180" s="4">
        <v>25</v>
      </c>
      <c r="M180" s="4">
        <v>3</v>
      </c>
      <c r="N180" s="4" t="s">
        <v>3</v>
      </c>
      <c r="O180" s="4">
        <v>2</v>
      </c>
      <c r="P180" s="4"/>
      <c r="Q180" s="4"/>
      <c r="R180" s="4"/>
      <c r="S180" s="4"/>
      <c r="T180" s="4"/>
      <c r="U180" s="4"/>
      <c r="V180" s="4"/>
      <c r="W180" s="4"/>
    </row>
    <row r="181" spans="1:245" x14ac:dyDescent="0.2">
      <c r="A181" s="4">
        <v>50</v>
      </c>
      <c r="B181" s="4">
        <v>0</v>
      </c>
      <c r="C181" s="4">
        <v>0</v>
      </c>
      <c r="D181" s="4">
        <v>1</v>
      </c>
      <c r="E181" s="4">
        <v>211</v>
      </c>
      <c r="F181" s="4">
        <f>ROUND(Source!Y154,O181)</f>
        <v>0</v>
      </c>
      <c r="G181" s="4" t="s">
        <v>123</v>
      </c>
      <c r="H181" s="4" t="s">
        <v>124</v>
      </c>
      <c r="I181" s="4"/>
      <c r="J181" s="4"/>
      <c r="K181" s="4">
        <v>211</v>
      </c>
      <c r="L181" s="4">
        <v>26</v>
      </c>
      <c r="M181" s="4">
        <v>3</v>
      </c>
      <c r="N181" s="4" t="s">
        <v>3</v>
      </c>
      <c r="O181" s="4">
        <v>2</v>
      </c>
      <c r="P181" s="4"/>
      <c r="Q181" s="4"/>
      <c r="R181" s="4"/>
      <c r="S181" s="4"/>
      <c r="T181" s="4"/>
      <c r="U181" s="4"/>
      <c r="V181" s="4"/>
      <c r="W181" s="4"/>
    </row>
    <row r="182" spans="1:245" x14ac:dyDescent="0.2">
      <c r="A182" s="4">
        <v>50</v>
      </c>
      <c r="B182" s="4">
        <v>0</v>
      </c>
      <c r="C182" s="4">
        <v>0</v>
      </c>
      <c r="D182" s="4">
        <v>1</v>
      </c>
      <c r="E182" s="4">
        <v>224</v>
      </c>
      <c r="F182" s="4">
        <f>ROUND(Source!AR154,O182)</f>
        <v>30036.87</v>
      </c>
      <c r="G182" s="4" t="s">
        <v>125</v>
      </c>
      <c r="H182" s="4" t="s">
        <v>126</v>
      </c>
      <c r="I182" s="4"/>
      <c r="J182" s="4"/>
      <c r="K182" s="4">
        <v>224</v>
      </c>
      <c r="L182" s="4">
        <v>27</v>
      </c>
      <c r="M182" s="4">
        <v>3</v>
      </c>
      <c r="N182" s="4" t="s">
        <v>3</v>
      </c>
      <c r="O182" s="4">
        <v>2</v>
      </c>
      <c r="P182" s="4"/>
      <c r="Q182" s="4"/>
      <c r="R182" s="4"/>
      <c r="S182" s="4"/>
      <c r="T182" s="4"/>
      <c r="U182" s="4"/>
      <c r="V182" s="4"/>
      <c r="W182" s="4"/>
    </row>
    <row r="184" spans="1:245" x14ac:dyDescent="0.2">
      <c r="A184" s="1">
        <v>4</v>
      </c>
      <c r="B184" s="1">
        <v>1</v>
      </c>
      <c r="C184" s="1"/>
      <c r="D184" s="1">
        <f>ROW(A190)</f>
        <v>190</v>
      </c>
      <c r="E184" s="1"/>
      <c r="F184" s="1" t="s">
        <v>21</v>
      </c>
      <c r="G184" s="1" t="s">
        <v>197</v>
      </c>
      <c r="H184" s="1" t="s">
        <v>3</v>
      </c>
      <c r="I184" s="1">
        <v>0</v>
      </c>
      <c r="J184" s="1"/>
      <c r="K184" s="1">
        <v>-1</v>
      </c>
      <c r="L184" s="1"/>
      <c r="M184" s="1" t="s">
        <v>3</v>
      </c>
      <c r="N184" s="1"/>
      <c r="O184" s="1"/>
      <c r="P184" s="1"/>
      <c r="Q184" s="1"/>
      <c r="R184" s="1"/>
      <c r="S184" s="1">
        <v>0</v>
      </c>
      <c r="T184" s="1"/>
      <c r="U184" s="1" t="s">
        <v>3</v>
      </c>
      <c r="V184" s="1">
        <v>0</v>
      </c>
      <c r="W184" s="1"/>
      <c r="X184" s="1"/>
      <c r="Y184" s="1"/>
      <c r="Z184" s="1"/>
      <c r="AA184" s="1"/>
      <c r="AB184" s="1" t="s">
        <v>3</v>
      </c>
      <c r="AC184" s="1" t="s">
        <v>3</v>
      </c>
      <c r="AD184" s="1" t="s">
        <v>3</v>
      </c>
      <c r="AE184" s="1" t="s">
        <v>3</v>
      </c>
      <c r="AF184" s="1" t="s">
        <v>3</v>
      </c>
      <c r="AG184" s="1" t="s">
        <v>3</v>
      </c>
      <c r="AH184" s="1"/>
      <c r="AI184" s="1"/>
      <c r="AJ184" s="1"/>
      <c r="AK184" s="1"/>
      <c r="AL184" s="1"/>
      <c r="AM184" s="1"/>
      <c r="AN184" s="1"/>
      <c r="AO184" s="1"/>
      <c r="AP184" s="1" t="s">
        <v>3</v>
      </c>
      <c r="AQ184" s="1" t="s">
        <v>3</v>
      </c>
      <c r="AR184" s="1" t="s">
        <v>3</v>
      </c>
      <c r="AS184" s="1"/>
      <c r="AT184" s="1"/>
      <c r="AU184" s="1"/>
      <c r="AV184" s="1"/>
      <c r="AW184" s="1"/>
      <c r="AX184" s="1"/>
      <c r="AY184" s="1"/>
      <c r="AZ184" s="1" t="s">
        <v>3</v>
      </c>
      <c r="BA184" s="1"/>
      <c r="BB184" s="1" t="s">
        <v>3</v>
      </c>
      <c r="BC184" s="1" t="s">
        <v>3</v>
      </c>
      <c r="BD184" s="1" t="s">
        <v>3</v>
      </c>
      <c r="BE184" s="1" t="s">
        <v>3</v>
      </c>
      <c r="BF184" s="1" t="s">
        <v>3</v>
      </c>
      <c r="BG184" s="1" t="s">
        <v>3</v>
      </c>
      <c r="BH184" s="1" t="s">
        <v>3</v>
      </c>
      <c r="BI184" s="1" t="s">
        <v>3</v>
      </c>
      <c r="BJ184" s="1" t="s">
        <v>3</v>
      </c>
      <c r="BK184" s="1" t="s">
        <v>3</v>
      </c>
      <c r="BL184" s="1" t="s">
        <v>3</v>
      </c>
      <c r="BM184" s="1" t="s">
        <v>3</v>
      </c>
      <c r="BN184" s="1" t="s">
        <v>3</v>
      </c>
      <c r="BO184" s="1" t="s">
        <v>3</v>
      </c>
      <c r="BP184" s="1" t="s">
        <v>3</v>
      </c>
      <c r="BQ184" s="1"/>
      <c r="BR184" s="1"/>
      <c r="BS184" s="1"/>
      <c r="BT184" s="1"/>
      <c r="BU184" s="1"/>
      <c r="BV184" s="1"/>
      <c r="BW184" s="1"/>
      <c r="BX184" s="1">
        <v>0</v>
      </c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>
        <v>0</v>
      </c>
    </row>
    <row r="186" spans="1:245" x14ac:dyDescent="0.2">
      <c r="A186" s="2">
        <v>52</v>
      </c>
      <c r="B186" s="2">
        <f t="shared" ref="B186:G186" si="96">B190</f>
        <v>1</v>
      </c>
      <c r="C186" s="2">
        <f t="shared" si="96"/>
        <v>4</v>
      </c>
      <c r="D186" s="2">
        <f t="shared" si="96"/>
        <v>184</v>
      </c>
      <c r="E186" s="2">
        <f t="shared" si="96"/>
        <v>0</v>
      </c>
      <c r="F186" s="2" t="str">
        <f t="shared" si="96"/>
        <v>Новый раздел</v>
      </c>
      <c r="G186" s="2" t="str">
        <f t="shared" si="96"/>
        <v>Прочие затраты.</v>
      </c>
      <c r="H186" s="2"/>
      <c r="I186" s="2"/>
      <c r="J186" s="2"/>
      <c r="K186" s="2"/>
      <c r="L186" s="2"/>
      <c r="M186" s="2"/>
      <c r="N186" s="2"/>
      <c r="O186" s="2">
        <f t="shared" ref="O186:AT186" si="97">O190</f>
        <v>30.03</v>
      </c>
      <c r="P186" s="2">
        <f t="shared" si="97"/>
        <v>0</v>
      </c>
      <c r="Q186" s="2">
        <f t="shared" si="97"/>
        <v>0</v>
      </c>
      <c r="R186" s="2">
        <f t="shared" si="97"/>
        <v>0</v>
      </c>
      <c r="S186" s="2">
        <f t="shared" si="97"/>
        <v>30.03</v>
      </c>
      <c r="T186" s="2">
        <f t="shared" si="97"/>
        <v>0</v>
      </c>
      <c r="U186" s="2">
        <f t="shared" si="97"/>
        <v>0.12815280000000001</v>
      </c>
      <c r="V186" s="2">
        <f t="shared" si="97"/>
        <v>0</v>
      </c>
      <c r="W186" s="2">
        <f t="shared" si="97"/>
        <v>0</v>
      </c>
      <c r="X186" s="2">
        <f t="shared" si="97"/>
        <v>21.92</v>
      </c>
      <c r="Y186" s="2">
        <f t="shared" si="97"/>
        <v>12.31</v>
      </c>
      <c r="Z186" s="2">
        <f t="shared" si="97"/>
        <v>0</v>
      </c>
      <c r="AA186" s="2">
        <f t="shared" si="97"/>
        <v>0</v>
      </c>
      <c r="AB186" s="2">
        <f t="shared" si="97"/>
        <v>30.03</v>
      </c>
      <c r="AC186" s="2">
        <f t="shared" si="97"/>
        <v>0</v>
      </c>
      <c r="AD186" s="2">
        <f t="shared" si="97"/>
        <v>0</v>
      </c>
      <c r="AE186" s="2">
        <f t="shared" si="97"/>
        <v>0</v>
      </c>
      <c r="AF186" s="2">
        <f t="shared" si="97"/>
        <v>30.03</v>
      </c>
      <c r="AG186" s="2">
        <f t="shared" si="97"/>
        <v>0</v>
      </c>
      <c r="AH186" s="2">
        <f t="shared" si="97"/>
        <v>0.12815280000000001</v>
      </c>
      <c r="AI186" s="2">
        <f t="shared" si="97"/>
        <v>0</v>
      </c>
      <c r="AJ186" s="2">
        <f t="shared" si="97"/>
        <v>0</v>
      </c>
      <c r="AK186" s="2">
        <f t="shared" si="97"/>
        <v>21.92</v>
      </c>
      <c r="AL186" s="2">
        <f t="shared" si="97"/>
        <v>12.31</v>
      </c>
      <c r="AM186" s="2">
        <f t="shared" si="97"/>
        <v>0</v>
      </c>
      <c r="AN186" s="2">
        <f t="shared" si="97"/>
        <v>0</v>
      </c>
      <c r="AO186" s="2">
        <f t="shared" si="97"/>
        <v>0</v>
      </c>
      <c r="AP186" s="2">
        <f t="shared" si="97"/>
        <v>0</v>
      </c>
      <c r="AQ186" s="2">
        <f t="shared" si="97"/>
        <v>0</v>
      </c>
      <c r="AR186" s="2">
        <f t="shared" si="97"/>
        <v>64.260000000000005</v>
      </c>
      <c r="AS186" s="2">
        <f t="shared" si="97"/>
        <v>64.260000000000005</v>
      </c>
      <c r="AT186" s="2">
        <f t="shared" si="97"/>
        <v>0</v>
      </c>
      <c r="AU186" s="2">
        <f t="shared" ref="AU186:BZ186" si="98">AU190</f>
        <v>0</v>
      </c>
      <c r="AV186" s="2">
        <f t="shared" si="98"/>
        <v>0</v>
      </c>
      <c r="AW186" s="2">
        <f t="shared" si="98"/>
        <v>0</v>
      </c>
      <c r="AX186" s="2">
        <f t="shared" si="98"/>
        <v>0</v>
      </c>
      <c r="AY186" s="2">
        <f t="shared" si="98"/>
        <v>0</v>
      </c>
      <c r="AZ186" s="2">
        <f t="shared" si="98"/>
        <v>0</v>
      </c>
      <c r="BA186" s="2">
        <f t="shared" si="98"/>
        <v>0</v>
      </c>
      <c r="BB186" s="2">
        <f t="shared" si="98"/>
        <v>0</v>
      </c>
      <c r="BC186" s="2">
        <f t="shared" si="98"/>
        <v>0</v>
      </c>
      <c r="BD186" s="2">
        <f t="shared" si="98"/>
        <v>0</v>
      </c>
      <c r="BE186" s="2">
        <f t="shared" si="98"/>
        <v>0</v>
      </c>
      <c r="BF186" s="2">
        <f t="shared" si="98"/>
        <v>0</v>
      </c>
      <c r="BG186" s="2">
        <f t="shared" si="98"/>
        <v>0</v>
      </c>
      <c r="BH186" s="2">
        <f t="shared" si="98"/>
        <v>0</v>
      </c>
      <c r="BI186" s="2">
        <f t="shared" si="98"/>
        <v>0</v>
      </c>
      <c r="BJ186" s="2">
        <f t="shared" si="98"/>
        <v>0</v>
      </c>
      <c r="BK186" s="2">
        <f t="shared" si="98"/>
        <v>0</v>
      </c>
      <c r="BL186" s="2">
        <f t="shared" si="98"/>
        <v>0</v>
      </c>
      <c r="BM186" s="2">
        <f t="shared" si="98"/>
        <v>0</v>
      </c>
      <c r="BN186" s="2">
        <f t="shared" si="98"/>
        <v>0</v>
      </c>
      <c r="BO186" s="2">
        <f t="shared" si="98"/>
        <v>0</v>
      </c>
      <c r="BP186" s="2">
        <f t="shared" si="98"/>
        <v>0</v>
      </c>
      <c r="BQ186" s="2">
        <f t="shared" si="98"/>
        <v>0</v>
      </c>
      <c r="BR186" s="2">
        <f t="shared" si="98"/>
        <v>0</v>
      </c>
      <c r="BS186" s="2">
        <f t="shared" si="98"/>
        <v>0</v>
      </c>
      <c r="BT186" s="2">
        <f t="shared" si="98"/>
        <v>0</v>
      </c>
      <c r="BU186" s="2">
        <f t="shared" si="98"/>
        <v>0</v>
      </c>
      <c r="BV186" s="2">
        <f t="shared" si="98"/>
        <v>0</v>
      </c>
      <c r="BW186" s="2">
        <f t="shared" si="98"/>
        <v>0</v>
      </c>
      <c r="BX186" s="2">
        <f t="shared" si="98"/>
        <v>0</v>
      </c>
      <c r="BY186" s="2">
        <f t="shared" si="98"/>
        <v>0</v>
      </c>
      <c r="BZ186" s="2">
        <f t="shared" si="98"/>
        <v>0</v>
      </c>
      <c r="CA186" s="2">
        <f t="shared" ref="CA186:DF186" si="99">CA190</f>
        <v>64.260000000000005</v>
      </c>
      <c r="CB186" s="2">
        <f t="shared" si="99"/>
        <v>64.260000000000005</v>
      </c>
      <c r="CC186" s="2">
        <f t="shared" si="99"/>
        <v>0</v>
      </c>
      <c r="CD186" s="2">
        <f t="shared" si="99"/>
        <v>0</v>
      </c>
      <c r="CE186" s="2">
        <f t="shared" si="99"/>
        <v>0</v>
      </c>
      <c r="CF186" s="2">
        <f t="shared" si="99"/>
        <v>0</v>
      </c>
      <c r="CG186" s="2">
        <f t="shared" si="99"/>
        <v>0</v>
      </c>
      <c r="CH186" s="2">
        <f t="shared" si="99"/>
        <v>0</v>
      </c>
      <c r="CI186" s="2">
        <f t="shared" si="99"/>
        <v>0</v>
      </c>
      <c r="CJ186" s="2">
        <f t="shared" si="99"/>
        <v>0</v>
      </c>
      <c r="CK186" s="2">
        <f t="shared" si="99"/>
        <v>0</v>
      </c>
      <c r="CL186" s="2">
        <f t="shared" si="99"/>
        <v>0</v>
      </c>
      <c r="CM186" s="2">
        <f t="shared" si="99"/>
        <v>0</v>
      </c>
      <c r="CN186" s="2">
        <f t="shared" si="99"/>
        <v>0</v>
      </c>
      <c r="CO186" s="2">
        <f t="shared" si="99"/>
        <v>0</v>
      </c>
      <c r="CP186" s="2">
        <f t="shared" si="99"/>
        <v>0</v>
      </c>
      <c r="CQ186" s="2">
        <f t="shared" si="99"/>
        <v>0</v>
      </c>
      <c r="CR186" s="2">
        <f t="shared" si="99"/>
        <v>0</v>
      </c>
      <c r="CS186" s="2">
        <f t="shared" si="99"/>
        <v>0</v>
      </c>
      <c r="CT186" s="2">
        <f t="shared" si="99"/>
        <v>0</v>
      </c>
      <c r="CU186" s="2">
        <f t="shared" si="99"/>
        <v>0</v>
      </c>
      <c r="CV186" s="2">
        <f t="shared" si="99"/>
        <v>0</v>
      </c>
      <c r="CW186" s="2">
        <f t="shared" si="99"/>
        <v>0</v>
      </c>
      <c r="CX186" s="2">
        <f t="shared" si="99"/>
        <v>0</v>
      </c>
      <c r="CY186" s="2">
        <f t="shared" si="99"/>
        <v>0</v>
      </c>
      <c r="CZ186" s="2">
        <f t="shared" si="99"/>
        <v>0</v>
      </c>
      <c r="DA186" s="2">
        <f t="shared" si="99"/>
        <v>0</v>
      </c>
      <c r="DB186" s="2">
        <f t="shared" si="99"/>
        <v>0</v>
      </c>
      <c r="DC186" s="2">
        <f t="shared" si="99"/>
        <v>0</v>
      </c>
      <c r="DD186" s="2">
        <f t="shared" si="99"/>
        <v>0</v>
      </c>
      <c r="DE186" s="2">
        <f t="shared" si="99"/>
        <v>0</v>
      </c>
      <c r="DF186" s="2">
        <f t="shared" si="99"/>
        <v>0</v>
      </c>
      <c r="DG186" s="3">
        <f t="shared" ref="DG186:EL186" si="100">DG190</f>
        <v>0</v>
      </c>
      <c r="DH186" s="3">
        <f t="shared" si="100"/>
        <v>0</v>
      </c>
      <c r="DI186" s="3">
        <f t="shared" si="100"/>
        <v>0</v>
      </c>
      <c r="DJ186" s="3">
        <f t="shared" si="100"/>
        <v>0</v>
      </c>
      <c r="DK186" s="3">
        <f t="shared" si="100"/>
        <v>0</v>
      </c>
      <c r="DL186" s="3">
        <f t="shared" si="100"/>
        <v>0</v>
      </c>
      <c r="DM186" s="3">
        <f t="shared" si="100"/>
        <v>0</v>
      </c>
      <c r="DN186" s="3">
        <f t="shared" si="100"/>
        <v>0</v>
      </c>
      <c r="DO186" s="3">
        <f t="shared" si="100"/>
        <v>0</v>
      </c>
      <c r="DP186" s="3">
        <f t="shared" si="100"/>
        <v>0</v>
      </c>
      <c r="DQ186" s="3">
        <f t="shared" si="100"/>
        <v>0</v>
      </c>
      <c r="DR186" s="3">
        <f t="shared" si="100"/>
        <v>0</v>
      </c>
      <c r="DS186" s="3">
        <f t="shared" si="100"/>
        <v>0</v>
      </c>
      <c r="DT186" s="3">
        <f t="shared" si="100"/>
        <v>0</v>
      </c>
      <c r="DU186" s="3">
        <f t="shared" si="100"/>
        <v>0</v>
      </c>
      <c r="DV186" s="3">
        <f t="shared" si="100"/>
        <v>0</v>
      </c>
      <c r="DW186" s="3">
        <f t="shared" si="100"/>
        <v>0</v>
      </c>
      <c r="DX186" s="3">
        <f t="shared" si="100"/>
        <v>0</v>
      </c>
      <c r="DY186" s="3">
        <f t="shared" si="100"/>
        <v>0</v>
      </c>
      <c r="DZ186" s="3">
        <f t="shared" si="100"/>
        <v>0</v>
      </c>
      <c r="EA186" s="3">
        <f t="shared" si="100"/>
        <v>0</v>
      </c>
      <c r="EB186" s="3">
        <f t="shared" si="100"/>
        <v>0</v>
      </c>
      <c r="EC186" s="3">
        <f t="shared" si="100"/>
        <v>0</v>
      </c>
      <c r="ED186" s="3">
        <f t="shared" si="100"/>
        <v>0</v>
      </c>
      <c r="EE186" s="3">
        <f t="shared" si="100"/>
        <v>0</v>
      </c>
      <c r="EF186" s="3">
        <f t="shared" si="100"/>
        <v>0</v>
      </c>
      <c r="EG186" s="3">
        <f t="shared" si="100"/>
        <v>0</v>
      </c>
      <c r="EH186" s="3">
        <f t="shared" si="100"/>
        <v>0</v>
      </c>
      <c r="EI186" s="3">
        <f t="shared" si="100"/>
        <v>0</v>
      </c>
      <c r="EJ186" s="3">
        <f t="shared" si="100"/>
        <v>0</v>
      </c>
      <c r="EK186" s="3">
        <f t="shared" si="100"/>
        <v>0</v>
      </c>
      <c r="EL186" s="3">
        <f t="shared" si="100"/>
        <v>0</v>
      </c>
      <c r="EM186" s="3">
        <f t="shared" ref="EM186:FR186" si="101">EM190</f>
        <v>0</v>
      </c>
      <c r="EN186" s="3">
        <f t="shared" si="101"/>
        <v>0</v>
      </c>
      <c r="EO186" s="3">
        <f t="shared" si="101"/>
        <v>0</v>
      </c>
      <c r="EP186" s="3">
        <f t="shared" si="101"/>
        <v>0</v>
      </c>
      <c r="EQ186" s="3">
        <f t="shared" si="101"/>
        <v>0</v>
      </c>
      <c r="ER186" s="3">
        <f t="shared" si="101"/>
        <v>0</v>
      </c>
      <c r="ES186" s="3">
        <f t="shared" si="101"/>
        <v>0</v>
      </c>
      <c r="ET186" s="3">
        <f t="shared" si="101"/>
        <v>0</v>
      </c>
      <c r="EU186" s="3">
        <f t="shared" si="101"/>
        <v>0</v>
      </c>
      <c r="EV186" s="3">
        <f t="shared" si="101"/>
        <v>0</v>
      </c>
      <c r="EW186" s="3">
        <f t="shared" si="101"/>
        <v>0</v>
      </c>
      <c r="EX186" s="3">
        <f t="shared" si="101"/>
        <v>0</v>
      </c>
      <c r="EY186" s="3">
        <f t="shared" si="101"/>
        <v>0</v>
      </c>
      <c r="EZ186" s="3">
        <f t="shared" si="101"/>
        <v>0</v>
      </c>
      <c r="FA186" s="3">
        <f t="shared" si="101"/>
        <v>0</v>
      </c>
      <c r="FB186" s="3">
        <f t="shared" si="101"/>
        <v>0</v>
      </c>
      <c r="FC186" s="3">
        <f t="shared" si="101"/>
        <v>0</v>
      </c>
      <c r="FD186" s="3">
        <f t="shared" si="101"/>
        <v>0</v>
      </c>
      <c r="FE186" s="3">
        <f t="shared" si="101"/>
        <v>0</v>
      </c>
      <c r="FF186" s="3">
        <f t="shared" si="101"/>
        <v>0</v>
      </c>
      <c r="FG186" s="3">
        <f t="shared" si="101"/>
        <v>0</v>
      </c>
      <c r="FH186" s="3">
        <f t="shared" si="101"/>
        <v>0</v>
      </c>
      <c r="FI186" s="3">
        <f t="shared" si="101"/>
        <v>0</v>
      </c>
      <c r="FJ186" s="3">
        <f t="shared" si="101"/>
        <v>0</v>
      </c>
      <c r="FK186" s="3">
        <f t="shared" si="101"/>
        <v>0</v>
      </c>
      <c r="FL186" s="3">
        <f t="shared" si="101"/>
        <v>0</v>
      </c>
      <c r="FM186" s="3">
        <f t="shared" si="101"/>
        <v>0</v>
      </c>
      <c r="FN186" s="3">
        <f t="shared" si="101"/>
        <v>0</v>
      </c>
      <c r="FO186" s="3">
        <f t="shared" si="101"/>
        <v>0</v>
      </c>
      <c r="FP186" s="3">
        <f t="shared" si="101"/>
        <v>0</v>
      </c>
      <c r="FQ186" s="3">
        <f t="shared" si="101"/>
        <v>0</v>
      </c>
      <c r="FR186" s="3">
        <f t="shared" si="101"/>
        <v>0</v>
      </c>
      <c r="FS186" s="3">
        <f t="shared" ref="FS186:GX186" si="102">FS190</f>
        <v>0</v>
      </c>
      <c r="FT186" s="3">
        <f t="shared" si="102"/>
        <v>0</v>
      </c>
      <c r="FU186" s="3">
        <f t="shared" si="102"/>
        <v>0</v>
      </c>
      <c r="FV186" s="3">
        <f t="shared" si="102"/>
        <v>0</v>
      </c>
      <c r="FW186" s="3">
        <f t="shared" si="102"/>
        <v>0</v>
      </c>
      <c r="FX186" s="3">
        <f t="shared" si="102"/>
        <v>0</v>
      </c>
      <c r="FY186" s="3">
        <f t="shared" si="102"/>
        <v>0</v>
      </c>
      <c r="FZ186" s="3">
        <f t="shared" si="102"/>
        <v>0</v>
      </c>
      <c r="GA186" s="3">
        <f t="shared" si="102"/>
        <v>0</v>
      </c>
      <c r="GB186" s="3">
        <f t="shared" si="102"/>
        <v>0</v>
      </c>
      <c r="GC186" s="3">
        <f t="shared" si="102"/>
        <v>0</v>
      </c>
      <c r="GD186" s="3">
        <f t="shared" si="102"/>
        <v>0</v>
      </c>
      <c r="GE186" s="3">
        <f t="shared" si="102"/>
        <v>0</v>
      </c>
      <c r="GF186" s="3">
        <f t="shared" si="102"/>
        <v>0</v>
      </c>
      <c r="GG186" s="3">
        <f t="shared" si="102"/>
        <v>0</v>
      </c>
      <c r="GH186" s="3">
        <f t="shared" si="102"/>
        <v>0</v>
      </c>
      <c r="GI186" s="3">
        <f t="shared" si="102"/>
        <v>0</v>
      </c>
      <c r="GJ186" s="3">
        <f t="shared" si="102"/>
        <v>0</v>
      </c>
      <c r="GK186" s="3">
        <f t="shared" si="102"/>
        <v>0</v>
      </c>
      <c r="GL186" s="3">
        <f t="shared" si="102"/>
        <v>0</v>
      </c>
      <c r="GM186" s="3">
        <f t="shared" si="102"/>
        <v>0</v>
      </c>
      <c r="GN186" s="3">
        <f t="shared" si="102"/>
        <v>0</v>
      </c>
      <c r="GO186" s="3">
        <f t="shared" si="102"/>
        <v>0</v>
      </c>
      <c r="GP186" s="3">
        <f t="shared" si="102"/>
        <v>0</v>
      </c>
      <c r="GQ186" s="3">
        <f t="shared" si="102"/>
        <v>0</v>
      </c>
      <c r="GR186" s="3">
        <f t="shared" si="102"/>
        <v>0</v>
      </c>
      <c r="GS186" s="3">
        <f t="shared" si="102"/>
        <v>0</v>
      </c>
      <c r="GT186" s="3">
        <f t="shared" si="102"/>
        <v>0</v>
      </c>
      <c r="GU186" s="3">
        <f t="shared" si="102"/>
        <v>0</v>
      </c>
      <c r="GV186" s="3">
        <f t="shared" si="102"/>
        <v>0</v>
      </c>
      <c r="GW186" s="3">
        <f t="shared" si="102"/>
        <v>0</v>
      </c>
      <c r="GX186" s="3">
        <f t="shared" si="102"/>
        <v>0</v>
      </c>
    </row>
    <row r="188" spans="1:245" x14ac:dyDescent="0.2">
      <c r="A188">
        <v>17</v>
      </c>
      <c r="B188">
        <v>1</v>
      </c>
      <c r="C188">
        <f>ROW(SmtRes!A11)</f>
        <v>11</v>
      </c>
      <c r="D188">
        <f>ROW(EtalonRes!A12)</f>
        <v>12</v>
      </c>
      <c r="E188" t="s">
        <v>198</v>
      </c>
      <c r="F188" t="s">
        <v>199</v>
      </c>
      <c r="G188" t="s">
        <v>200</v>
      </c>
      <c r="H188" t="s">
        <v>201</v>
      </c>
      <c r="I188">
        <f>ROUND(0.1,9)</f>
        <v>0.1</v>
      </c>
      <c r="J188">
        <v>0</v>
      </c>
      <c r="O188">
        <f>ROUND(CP188,2)</f>
        <v>30.03</v>
      </c>
      <c r="P188">
        <f>ROUND((ROUND((AC188*AW188*I188),2)*BC188),2)</f>
        <v>0</v>
      </c>
      <c r="Q188">
        <f>(ROUND((ROUND((((ET188*1.2))*AV188*I188),2)*BB188),2)+ROUND((ROUND(((AE188-((EU188*1.2)))*AV188*I188),2)*BS188),2))</f>
        <v>0</v>
      </c>
      <c r="R188">
        <f>ROUND((ROUND((AE188*AV188*I188),2)*BS188),2)</f>
        <v>0</v>
      </c>
      <c r="S188">
        <f>ROUND((ROUND((AF188*AV188*I188),2)*BA188),2)</f>
        <v>30.03</v>
      </c>
      <c r="T188">
        <f>ROUND(CU188*I188,2)</f>
        <v>0</v>
      </c>
      <c r="U188">
        <f>CV188*I188</f>
        <v>0.12815280000000001</v>
      </c>
      <c r="V188">
        <f>CW188*I188</f>
        <v>0</v>
      </c>
      <c r="W188">
        <f>ROUND(CX188*I188,2)</f>
        <v>0</v>
      </c>
      <c r="X188">
        <f>ROUND(CY188,2)</f>
        <v>21.92</v>
      </c>
      <c r="Y188">
        <f>ROUND(CZ188,2)</f>
        <v>12.31</v>
      </c>
      <c r="AA188">
        <v>23689695</v>
      </c>
      <c r="AB188">
        <f>ROUND((AC188+AD188+AF188),6)</f>
        <v>11.544</v>
      </c>
      <c r="AC188">
        <f>ROUND((ES188),6)</f>
        <v>0</v>
      </c>
      <c r="AD188">
        <f>ROUND(((((ET188*1.2))-((EU188*1.2)))+AE188),6)</f>
        <v>0</v>
      </c>
      <c r="AE188">
        <f>ROUND(((EU188*1.2)),6)</f>
        <v>0</v>
      </c>
      <c r="AF188">
        <f>ROUND(((EV188*1.2)),6)</f>
        <v>11.544</v>
      </c>
      <c r="AG188">
        <f>ROUND((AP188),6)</f>
        <v>0</v>
      </c>
      <c r="AH188">
        <f>((EW188*1.2))</f>
        <v>1.224</v>
      </c>
      <c r="AI188">
        <f>((EX188*1.2))</f>
        <v>0</v>
      </c>
      <c r="AJ188">
        <f>(AS188)</f>
        <v>0</v>
      </c>
      <c r="AK188">
        <v>9.6199999999999992</v>
      </c>
      <c r="AL188">
        <v>0</v>
      </c>
      <c r="AM188">
        <v>0</v>
      </c>
      <c r="AN188">
        <v>0</v>
      </c>
      <c r="AO188">
        <v>9.6199999999999992</v>
      </c>
      <c r="AP188">
        <v>0</v>
      </c>
      <c r="AQ188">
        <v>1.02</v>
      </c>
      <c r="AR188">
        <v>0</v>
      </c>
      <c r="AS188">
        <v>0</v>
      </c>
      <c r="AT188">
        <v>73</v>
      </c>
      <c r="AU188">
        <v>41</v>
      </c>
      <c r="AV188">
        <v>1.0469999999999999</v>
      </c>
      <c r="AW188">
        <v>1.002</v>
      </c>
      <c r="AZ188">
        <v>1</v>
      </c>
      <c r="BA188">
        <v>24.82</v>
      </c>
      <c r="BB188">
        <v>1</v>
      </c>
      <c r="BC188">
        <v>1</v>
      </c>
      <c r="BD188" t="s">
        <v>3</v>
      </c>
      <c r="BE188" t="s">
        <v>3</v>
      </c>
      <c r="BF188" t="s">
        <v>3</v>
      </c>
      <c r="BG188" t="s">
        <v>3</v>
      </c>
      <c r="BH188">
        <v>0</v>
      </c>
      <c r="BI188">
        <v>1</v>
      </c>
      <c r="BJ188" t="s">
        <v>202</v>
      </c>
      <c r="BM188">
        <v>682</v>
      </c>
      <c r="BN188">
        <v>0</v>
      </c>
      <c r="BO188" t="s">
        <v>199</v>
      </c>
      <c r="BP188">
        <v>1</v>
      </c>
      <c r="BQ188">
        <v>60</v>
      </c>
      <c r="BR188">
        <v>0</v>
      </c>
      <c r="BS188">
        <v>24.82</v>
      </c>
      <c r="BT188">
        <v>1</v>
      </c>
      <c r="BU188">
        <v>1</v>
      </c>
      <c r="BV188">
        <v>1</v>
      </c>
      <c r="BW188">
        <v>1</v>
      </c>
      <c r="BX188">
        <v>1</v>
      </c>
      <c r="BY188" t="s">
        <v>3</v>
      </c>
      <c r="BZ188">
        <v>73</v>
      </c>
      <c r="CA188">
        <v>41</v>
      </c>
      <c r="CE188">
        <v>30</v>
      </c>
      <c r="CF188">
        <v>0</v>
      </c>
      <c r="CG188">
        <v>0</v>
      </c>
      <c r="CM188">
        <v>0</v>
      </c>
      <c r="CN188" t="s">
        <v>239</v>
      </c>
      <c r="CO188">
        <v>0</v>
      </c>
      <c r="CP188">
        <f>(P188+Q188+S188)</f>
        <v>30.03</v>
      </c>
      <c r="CQ188">
        <f>ROUND((ROUND((AC188*AW188*1),2)*BC188),2)</f>
        <v>0</v>
      </c>
      <c r="CR188">
        <f>(ROUND((ROUND((((ET188*1.2))*AV188*1),2)*BB188),2)+ROUND((ROUND(((AE188-((EU188*1.2)))*AV188*1),2)*BS188),2))</f>
        <v>0</v>
      </c>
      <c r="CS188">
        <f>ROUND((ROUND((AE188*AV188*1),2)*BS188),2)</f>
        <v>0</v>
      </c>
      <c r="CT188">
        <f>ROUND((ROUND((AF188*AV188*1),2)*BA188),2)</f>
        <v>300.07</v>
      </c>
      <c r="CU188">
        <f>AG188</f>
        <v>0</v>
      </c>
      <c r="CV188">
        <f>(AH188*AV188)</f>
        <v>1.281528</v>
      </c>
      <c r="CW188">
        <f>AI188</f>
        <v>0</v>
      </c>
      <c r="CX188">
        <f>AJ188</f>
        <v>0</v>
      </c>
      <c r="CY188">
        <f>S188*(BZ188/100)</f>
        <v>21.921900000000001</v>
      </c>
      <c r="CZ188">
        <f>S188*(CA188/100)</f>
        <v>12.3123</v>
      </c>
      <c r="DC188" t="s">
        <v>3</v>
      </c>
      <c r="DD188" t="s">
        <v>3</v>
      </c>
      <c r="DE188" t="s">
        <v>203</v>
      </c>
      <c r="DF188" t="s">
        <v>203</v>
      </c>
      <c r="DG188" t="s">
        <v>203</v>
      </c>
      <c r="DH188" t="s">
        <v>3</v>
      </c>
      <c r="DI188" t="s">
        <v>203</v>
      </c>
      <c r="DJ188" t="s">
        <v>203</v>
      </c>
      <c r="DK188" t="s">
        <v>3</v>
      </c>
      <c r="DL188" t="s">
        <v>3</v>
      </c>
      <c r="DM188" t="s">
        <v>3</v>
      </c>
      <c r="DN188">
        <v>91</v>
      </c>
      <c r="DO188">
        <v>70</v>
      </c>
      <c r="DP188">
        <v>1.0469999999999999</v>
      </c>
      <c r="DQ188">
        <v>1.002</v>
      </c>
      <c r="DU188">
        <v>1009</v>
      </c>
      <c r="DV188" t="s">
        <v>201</v>
      </c>
      <c r="DW188" t="s">
        <v>201</v>
      </c>
      <c r="DX188">
        <v>1000</v>
      </c>
      <c r="DZ188" t="s">
        <v>3</v>
      </c>
      <c r="EA188" t="s">
        <v>3</v>
      </c>
      <c r="EB188" t="s">
        <v>3</v>
      </c>
      <c r="EC188" t="s">
        <v>3</v>
      </c>
      <c r="EE188">
        <v>22827523</v>
      </c>
      <c r="EF188">
        <v>60</v>
      </c>
      <c r="EG188" t="s">
        <v>204</v>
      </c>
      <c r="EH188">
        <v>0</v>
      </c>
      <c r="EI188" t="s">
        <v>3</v>
      </c>
      <c r="EJ188">
        <v>1</v>
      </c>
      <c r="EK188">
        <v>682</v>
      </c>
      <c r="EL188" t="s">
        <v>205</v>
      </c>
      <c r="EM188" t="s">
        <v>206</v>
      </c>
      <c r="EO188" t="s">
        <v>207</v>
      </c>
      <c r="EQ188">
        <v>0</v>
      </c>
      <c r="ER188">
        <v>9.6199999999999992</v>
      </c>
      <c r="ES188">
        <v>0</v>
      </c>
      <c r="ET188">
        <v>0</v>
      </c>
      <c r="EU188">
        <v>0</v>
      </c>
      <c r="EV188">
        <v>9.6199999999999992</v>
      </c>
      <c r="EW188">
        <v>1.02</v>
      </c>
      <c r="EX188">
        <v>0</v>
      </c>
      <c r="EY188">
        <v>0</v>
      </c>
      <c r="FQ188">
        <v>0</v>
      </c>
      <c r="FR188">
        <f>ROUND(IF(AND(BH188=3,BI188=3),P188,0),2)</f>
        <v>0</v>
      </c>
      <c r="FS188">
        <v>0</v>
      </c>
      <c r="FX188">
        <v>91</v>
      </c>
      <c r="FY188">
        <v>70</v>
      </c>
      <c r="GA188" t="s">
        <v>3</v>
      </c>
      <c r="GD188">
        <v>0</v>
      </c>
      <c r="GF188">
        <v>1097059647</v>
      </c>
      <c r="GG188">
        <v>2</v>
      </c>
      <c r="GH188">
        <v>1</v>
      </c>
      <c r="GI188">
        <v>2</v>
      </c>
      <c r="GJ188">
        <v>0</v>
      </c>
      <c r="GK188">
        <f>ROUND(R188*(R12)/100,2)</f>
        <v>0</v>
      </c>
      <c r="GL188">
        <f>ROUND(IF(AND(BH188=3,BI188=3,FS188&lt;&gt;0),P188,0),2)</f>
        <v>0</v>
      </c>
      <c r="GM188">
        <f>ROUND(O188+X188+Y188+GK188,2)+GX188</f>
        <v>64.260000000000005</v>
      </c>
      <c r="GN188">
        <f>IF(OR(BI188=0,BI188=1),ROUND(O188+X188+Y188+GK188,2),0)</f>
        <v>64.260000000000005</v>
      </c>
      <c r="GO188">
        <f>IF(BI188=2,ROUND(O188+X188+Y188+GK188,2),0)</f>
        <v>0</v>
      </c>
      <c r="GP188">
        <f>IF(BI188=4,ROUND(O188+X188+Y188+GK188,2)+GX188,0)</f>
        <v>0</v>
      </c>
      <c r="GR188">
        <v>0</v>
      </c>
      <c r="GS188">
        <v>0</v>
      </c>
      <c r="GT188">
        <v>0</v>
      </c>
      <c r="GU188" t="s">
        <v>3</v>
      </c>
      <c r="GV188">
        <f>ROUND((GT188),6)</f>
        <v>0</v>
      </c>
      <c r="GW188">
        <v>1</v>
      </c>
      <c r="GX188">
        <f>ROUND(HC188*I188,2)</f>
        <v>0</v>
      </c>
      <c r="HA188">
        <v>0</v>
      </c>
      <c r="HB188">
        <v>0</v>
      </c>
      <c r="HC188">
        <f>GV188*GW188</f>
        <v>0</v>
      </c>
      <c r="HE188" t="s">
        <v>3</v>
      </c>
      <c r="HF188" t="s">
        <v>3</v>
      </c>
      <c r="IK188">
        <v>0</v>
      </c>
    </row>
    <row r="190" spans="1:245" x14ac:dyDescent="0.2">
      <c r="A190" s="2">
        <v>51</v>
      </c>
      <c r="B190" s="2">
        <f>B184</f>
        <v>1</v>
      </c>
      <c r="C190" s="2">
        <f>A184</f>
        <v>4</v>
      </c>
      <c r="D190" s="2">
        <f>ROW(A184)</f>
        <v>184</v>
      </c>
      <c r="E190" s="2"/>
      <c r="F190" s="2" t="str">
        <f>IF(F184&lt;&gt;"",F184,"")</f>
        <v>Новый раздел</v>
      </c>
      <c r="G190" s="2" t="str">
        <f>IF(G184&lt;&gt;"",G184,"")</f>
        <v>Прочие затраты.</v>
      </c>
      <c r="H190" s="2">
        <v>0</v>
      </c>
      <c r="I190" s="2"/>
      <c r="J190" s="2"/>
      <c r="K190" s="2"/>
      <c r="L190" s="2"/>
      <c r="M190" s="2"/>
      <c r="N190" s="2"/>
      <c r="O190" s="2">
        <f t="shared" ref="O190:T190" si="103">ROUND(AB190,2)</f>
        <v>30.03</v>
      </c>
      <c r="P190" s="2">
        <f t="shared" si="103"/>
        <v>0</v>
      </c>
      <c r="Q190" s="2">
        <f t="shared" si="103"/>
        <v>0</v>
      </c>
      <c r="R190" s="2">
        <f t="shared" si="103"/>
        <v>0</v>
      </c>
      <c r="S190" s="2">
        <f t="shared" si="103"/>
        <v>30.03</v>
      </c>
      <c r="T190" s="2">
        <f t="shared" si="103"/>
        <v>0</v>
      </c>
      <c r="U190" s="2">
        <f>AH190</f>
        <v>0.12815280000000001</v>
      </c>
      <c r="V190" s="2">
        <f>AI190</f>
        <v>0</v>
      </c>
      <c r="W190" s="2">
        <f>ROUND(AJ190,2)</f>
        <v>0</v>
      </c>
      <c r="X190" s="2">
        <f>ROUND(AK190,2)</f>
        <v>21.92</v>
      </c>
      <c r="Y190" s="2">
        <f>ROUND(AL190,2)</f>
        <v>12.31</v>
      </c>
      <c r="Z190" s="2"/>
      <c r="AA190" s="2"/>
      <c r="AB190" s="2">
        <f>ROUND(SUMIF(AA188:AA188,"=23689695",O188:O188),2)</f>
        <v>30.03</v>
      </c>
      <c r="AC190" s="2">
        <f>ROUND(SUMIF(AA188:AA188,"=23689695",P188:P188),2)</f>
        <v>0</v>
      </c>
      <c r="AD190" s="2">
        <f>ROUND(SUMIF(AA188:AA188,"=23689695",Q188:Q188),2)</f>
        <v>0</v>
      </c>
      <c r="AE190" s="2">
        <f>ROUND(SUMIF(AA188:AA188,"=23689695",R188:R188),2)</f>
        <v>0</v>
      </c>
      <c r="AF190" s="2">
        <f>ROUND(SUMIF(AA188:AA188,"=23689695",S188:S188),2)</f>
        <v>30.03</v>
      </c>
      <c r="AG190" s="2">
        <f>ROUND(SUMIF(AA188:AA188,"=23689695",T188:T188),2)</f>
        <v>0</v>
      </c>
      <c r="AH190" s="2">
        <f>SUMIF(AA188:AA188,"=23689695",U188:U188)</f>
        <v>0.12815280000000001</v>
      </c>
      <c r="AI190" s="2">
        <f>SUMIF(AA188:AA188,"=23689695",V188:V188)</f>
        <v>0</v>
      </c>
      <c r="AJ190" s="2">
        <f>ROUND(SUMIF(AA188:AA188,"=23689695",W188:W188),2)</f>
        <v>0</v>
      </c>
      <c r="AK190" s="2">
        <f>ROUND(SUMIF(AA188:AA188,"=23689695",X188:X188),2)</f>
        <v>21.92</v>
      </c>
      <c r="AL190" s="2">
        <f>ROUND(SUMIF(AA188:AA188,"=23689695",Y188:Y188),2)</f>
        <v>12.31</v>
      </c>
      <c r="AM190" s="2"/>
      <c r="AN190" s="2"/>
      <c r="AO190" s="2">
        <f t="shared" ref="AO190:BD190" si="104">ROUND(BX190,2)</f>
        <v>0</v>
      </c>
      <c r="AP190" s="2">
        <f t="shared" si="104"/>
        <v>0</v>
      </c>
      <c r="AQ190" s="2">
        <f t="shared" si="104"/>
        <v>0</v>
      </c>
      <c r="AR190" s="2">
        <f t="shared" si="104"/>
        <v>64.260000000000005</v>
      </c>
      <c r="AS190" s="2">
        <f t="shared" si="104"/>
        <v>64.260000000000005</v>
      </c>
      <c r="AT190" s="2">
        <f t="shared" si="104"/>
        <v>0</v>
      </c>
      <c r="AU190" s="2">
        <f t="shared" si="104"/>
        <v>0</v>
      </c>
      <c r="AV190" s="2">
        <f t="shared" si="104"/>
        <v>0</v>
      </c>
      <c r="AW190" s="2">
        <f t="shared" si="104"/>
        <v>0</v>
      </c>
      <c r="AX190" s="2">
        <f t="shared" si="104"/>
        <v>0</v>
      </c>
      <c r="AY190" s="2">
        <f t="shared" si="104"/>
        <v>0</v>
      </c>
      <c r="AZ190" s="2">
        <f t="shared" si="104"/>
        <v>0</v>
      </c>
      <c r="BA190" s="2">
        <f t="shared" si="104"/>
        <v>0</v>
      </c>
      <c r="BB190" s="2">
        <f t="shared" si="104"/>
        <v>0</v>
      </c>
      <c r="BC190" s="2">
        <f t="shared" si="104"/>
        <v>0</v>
      </c>
      <c r="BD190" s="2">
        <f t="shared" si="104"/>
        <v>0</v>
      </c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>
        <f>ROUND(SUMIF(AA188:AA188,"=23689695",FQ188:FQ188),2)</f>
        <v>0</v>
      </c>
      <c r="BY190" s="2">
        <f>ROUND(SUMIF(AA188:AA188,"=23689695",FR188:FR188),2)</f>
        <v>0</v>
      </c>
      <c r="BZ190" s="2">
        <f>ROUND(SUMIF(AA188:AA188,"=23689695",GL188:GL188),2)</f>
        <v>0</v>
      </c>
      <c r="CA190" s="2">
        <f>ROUND(SUMIF(AA188:AA188,"=23689695",GM188:GM188),2)</f>
        <v>64.260000000000005</v>
      </c>
      <c r="CB190" s="2">
        <f>ROUND(SUMIF(AA188:AA188,"=23689695",GN188:GN188),2)</f>
        <v>64.260000000000005</v>
      </c>
      <c r="CC190" s="2">
        <f>ROUND(SUMIF(AA188:AA188,"=23689695",GO188:GO188),2)</f>
        <v>0</v>
      </c>
      <c r="CD190" s="2">
        <f>ROUND(SUMIF(AA188:AA188,"=23689695",GP188:GP188),2)</f>
        <v>0</v>
      </c>
      <c r="CE190" s="2">
        <f>AC190-BX190</f>
        <v>0</v>
      </c>
      <c r="CF190" s="2">
        <f>AC190-BY190</f>
        <v>0</v>
      </c>
      <c r="CG190" s="2">
        <f>BX190-BZ190</f>
        <v>0</v>
      </c>
      <c r="CH190" s="2">
        <f>AC190-BX190-BY190+BZ190</f>
        <v>0</v>
      </c>
      <c r="CI190" s="2">
        <f>BY190-BZ190</f>
        <v>0</v>
      </c>
      <c r="CJ190" s="2">
        <f>ROUND(SUMIF(AA188:AA188,"=23689695",GX188:GX188),2)</f>
        <v>0</v>
      </c>
      <c r="CK190" s="2">
        <f>ROUND(SUMIF(AA188:AA188,"=23689695",GY188:GY188),2)</f>
        <v>0</v>
      </c>
      <c r="CL190" s="2">
        <f>ROUND(SUMIF(AA188:AA188,"=23689695",GZ188:GZ188),2)</f>
        <v>0</v>
      </c>
      <c r="CM190" s="2">
        <f>ROUND(SUMIF(AA188:AA188,"=23689695",HD188:HD188),2)</f>
        <v>0</v>
      </c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>
        <v>0</v>
      </c>
    </row>
    <row r="192" spans="1:245" x14ac:dyDescent="0.2">
      <c r="A192" s="4">
        <v>50</v>
      </c>
      <c r="B192" s="4">
        <v>0</v>
      </c>
      <c r="C192" s="4">
        <v>0</v>
      </c>
      <c r="D192" s="4">
        <v>1</v>
      </c>
      <c r="E192" s="4">
        <v>201</v>
      </c>
      <c r="F192" s="4">
        <f>ROUND(Source!O190,O192)</f>
        <v>30.03</v>
      </c>
      <c r="G192" s="4" t="s">
        <v>73</v>
      </c>
      <c r="H192" s="4" t="s">
        <v>74</v>
      </c>
      <c r="I192" s="4"/>
      <c r="J192" s="4"/>
      <c r="K192" s="4">
        <v>201</v>
      </c>
      <c r="L192" s="4">
        <v>1</v>
      </c>
      <c r="M192" s="4">
        <v>3</v>
      </c>
      <c r="N192" s="4" t="s">
        <v>3</v>
      </c>
      <c r="O192" s="4">
        <v>2</v>
      </c>
      <c r="P192" s="4"/>
      <c r="Q192" s="4"/>
      <c r="R192" s="4"/>
      <c r="S192" s="4"/>
      <c r="T192" s="4"/>
      <c r="U192" s="4"/>
      <c r="V192" s="4"/>
      <c r="W192" s="4"/>
    </row>
    <row r="193" spans="1:23" x14ac:dyDescent="0.2">
      <c r="A193" s="4">
        <v>50</v>
      </c>
      <c r="B193" s="4">
        <v>0</v>
      </c>
      <c r="C193" s="4">
        <v>0</v>
      </c>
      <c r="D193" s="4">
        <v>1</v>
      </c>
      <c r="E193" s="4">
        <v>202</v>
      </c>
      <c r="F193" s="4">
        <f>ROUND(Source!P190,O193)</f>
        <v>0</v>
      </c>
      <c r="G193" s="4" t="s">
        <v>75</v>
      </c>
      <c r="H193" s="4" t="s">
        <v>76</v>
      </c>
      <c r="I193" s="4"/>
      <c r="J193" s="4"/>
      <c r="K193" s="4">
        <v>202</v>
      </c>
      <c r="L193" s="4">
        <v>2</v>
      </c>
      <c r="M193" s="4">
        <v>3</v>
      </c>
      <c r="N193" s="4" t="s">
        <v>3</v>
      </c>
      <c r="O193" s="4">
        <v>2</v>
      </c>
      <c r="P193" s="4"/>
      <c r="Q193" s="4"/>
      <c r="R193" s="4"/>
      <c r="S193" s="4"/>
      <c r="T193" s="4"/>
      <c r="U193" s="4"/>
      <c r="V193" s="4"/>
      <c r="W193" s="4"/>
    </row>
    <row r="194" spans="1:23" x14ac:dyDescent="0.2">
      <c r="A194" s="4">
        <v>50</v>
      </c>
      <c r="B194" s="4">
        <v>0</v>
      </c>
      <c r="C194" s="4">
        <v>0</v>
      </c>
      <c r="D194" s="4">
        <v>1</v>
      </c>
      <c r="E194" s="4">
        <v>222</v>
      </c>
      <c r="F194" s="4">
        <f>ROUND(Source!AO190,O194)</f>
        <v>0</v>
      </c>
      <c r="G194" s="4" t="s">
        <v>77</v>
      </c>
      <c r="H194" s="4" t="s">
        <v>78</v>
      </c>
      <c r="I194" s="4"/>
      <c r="J194" s="4"/>
      <c r="K194" s="4">
        <v>222</v>
      </c>
      <c r="L194" s="4">
        <v>3</v>
      </c>
      <c r="M194" s="4">
        <v>3</v>
      </c>
      <c r="N194" s="4" t="s">
        <v>3</v>
      </c>
      <c r="O194" s="4">
        <v>2</v>
      </c>
      <c r="P194" s="4"/>
      <c r="Q194" s="4"/>
      <c r="R194" s="4"/>
      <c r="S194" s="4"/>
      <c r="T194" s="4"/>
      <c r="U194" s="4"/>
      <c r="V194" s="4"/>
      <c r="W194" s="4"/>
    </row>
    <row r="195" spans="1:23" x14ac:dyDescent="0.2">
      <c r="A195" s="4">
        <v>50</v>
      </c>
      <c r="B195" s="4">
        <v>0</v>
      </c>
      <c r="C195" s="4">
        <v>0</v>
      </c>
      <c r="D195" s="4">
        <v>1</v>
      </c>
      <c r="E195" s="4">
        <v>225</v>
      </c>
      <c r="F195" s="4">
        <f>ROUND(Source!AV190,O195)</f>
        <v>0</v>
      </c>
      <c r="G195" s="4" t="s">
        <v>79</v>
      </c>
      <c r="H195" s="4" t="s">
        <v>80</v>
      </c>
      <c r="I195" s="4"/>
      <c r="J195" s="4"/>
      <c r="K195" s="4">
        <v>225</v>
      </c>
      <c r="L195" s="4">
        <v>4</v>
      </c>
      <c r="M195" s="4">
        <v>3</v>
      </c>
      <c r="N195" s="4" t="s">
        <v>3</v>
      </c>
      <c r="O195" s="4">
        <v>2</v>
      </c>
      <c r="P195" s="4"/>
      <c r="Q195" s="4"/>
      <c r="R195" s="4"/>
      <c r="S195" s="4"/>
      <c r="T195" s="4"/>
      <c r="U195" s="4"/>
      <c r="V195" s="4"/>
      <c r="W195" s="4"/>
    </row>
    <row r="196" spans="1:23" x14ac:dyDescent="0.2">
      <c r="A196" s="4">
        <v>50</v>
      </c>
      <c r="B196" s="4">
        <v>0</v>
      </c>
      <c r="C196" s="4">
        <v>0</v>
      </c>
      <c r="D196" s="4">
        <v>1</v>
      </c>
      <c r="E196" s="4">
        <v>226</v>
      </c>
      <c r="F196" s="4">
        <f>ROUND(Source!AW190,O196)</f>
        <v>0</v>
      </c>
      <c r="G196" s="4" t="s">
        <v>81</v>
      </c>
      <c r="H196" s="4" t="s">
        <v>82</v>
      </c>
      <c r="I196" s="4"/>
      <c r="J196" s="4"/>
      <c r="K196" s="4">
        <v>226</v>
      </c>
      <c r="L196" s="4">
        <v>5</v>
      </c>
      <c r="M196" s="4">
        <v>3</v>
      </c>
      <c r="N196" s="4" t="s">
        <v>3</v>
      </c>
      <c r="O196" s="4">
        <v>2</v>
      </c>
      <c r="P196" s="4"/>
      <c r="Q196" s="4"/>
      <c r="R196" s="4"/>
      <c r="S196" s="4"/>
      <c r="T196" s="4"/>
      <c r="U196" s="4"/>
      <c r="V196" s="4"/>
      <c r="W196" s="4"/>
    </row>
    <row r="197" spans="1:23" x14ac:dyDescent="0.2">
      <c r="A197" s="4">
        <v>50</v>
      </c>
      <c r="B197" s="4">
        <v>0</v>
      </c>
      <c r="C197" s="4">
        <v>0</v>
      </c>
      <c r="D197" s="4">
        <v>1</v>
      </c>
      <c r="E197" s="4">
        <v>227</v>
      </c>
      <c r="F197" s="4">
        <f>ROUND(Source!AX190,O197)</f>
        <v>0</v>
      </c>
      <c r="G197" s="4" t="s">
        <v>83</v>
      </c>
      <c r="H197" s="4" t="s">
        <v>84</v>
      </c>
      <c r="I197" s="4"/>
      <c r="J197" s="4"/>
      <c r="K197" s="4">
        <v>227</v>
      </c>
      <c r="L197" s="4">
        <v>6</v>
      </c>
      <c r="M197" s="4">
        <v>3</v>
      </c>
      <c r="N197" s="4" t="s">
        <v>3</v>
      </c>
      <c r="O197" s="4">
        <v>2</v>
      </c>
      <c r="P197" s="4"/>
      <c r="Q197" s="4"/>
      <c r="R197" s="4"/>
      <c r="S197" s="4"/>
      <c r="T197" s="4"/>
      <c r="U197" s="4"/>
      <c r="V197" s="4"/>
      <c r="W197" s="4"/>
    </row>
    <row r="198" spans="1:23" x14ac:dyDescent="0.2">
      <c r="A198" s="4">
        <v>50</v>
      </c>
      <c r="B198" s="4">
        <v>0</v>
      </c>
      <c r="C198" s="4">
        <v>0</v>
      </c>
      <c r="D198" s="4">
        <v>1</v>
      </c>
      <c r="E198" s="4">
        <v>228</v>
      </c>
      <c r="F198" s="4">
        <f>ROUND(Source!AY190,O198)</f>
        <v>0</v>
      </c>
      <c r="G198" s="4" t="s">
        <v>85</v>
      </c>
      <c r="H198" s="4" t="s">
        <v>86</v>
      </c>
      <c r="I198" s="4"/>
      <c r="J198" s="4"/>
      <c r="K198" s="4">
        <v>228</v>
      </c>
      <c r="L198" s="4">
        <v>7</v>
      </c>
      <c r="M198" s="4">
        <v>3</v>
      </c>
      <c r="N198" s="4" t="s">
        <v>3</v>
      </c>
      <c r="O198" s="4">
        <v>2</v>
      </c>
      <c r="P198" s="4"/>
      <c r="Q198" s="4"/>
      <c r="R198" s="4"/>
      <c r="S198" s="4"/>
      <c r="T198" s="4"/>
      <c r="U198" s="4"/>
      <c r="V198" s="4"/>
      <c r="W198" s="4"/>
    </row>
    <row r="199" spans="1:23" x14ac:dyDescent="0.2">
      <c r="A199" s="4">
        <v>50</v>
      </c>
      <c r="B199" s="4">
        <v>0</v>
      </c>
      <c r="C199" s="4">
        <v>0</v>
      </c>
      <c r="D199" s="4">
        <v>1</v>
      </c>
      <c r="E199" s="4">
        <v>216</v>
      </c>
      <c r="F199" s="4">
        <f>ROUND(Source!AP190,O199)</f>
        <v>0</v>
      </c>
      <c r="G199" s="4" t="s">
        <v>87</v>
      </c>
      <c r="H199" s="4" t="s">
        <v>88</v>
      </c>
      <c r="I199" s="4"/>
      <c r="J199" s="4"/>
      <c r="K199" s="4">
        <v>216</v>
      </c>
      <c r="L199" s="4">
        <v>8</v>
      </c>
      <c r="M199" s="4">
        <v>3</v>
      </c>
      <c r="N199" s="4" t="s">
        <v>3</v>
      </c>
      <c r="O199" s="4">
        <v>2</v>
      </c>
      <c r="P199" s="4"/>
      <c r="Q199" s="4"/>
      <c r="R199" s="4"/>
      <c r="S199" s="4"/>
      <c r="T199" s="4"/>
      <c r="U199" s="4"/>
      <c r="V199" s="4"/>
      <c r="W199" s="4"/>
    </row>
    <row r="200" spans="1:23" x14ac:dyDescent="0.2">
      <c r="A200" s="4">
        <v>50</v>
      </c>
      <c r="B200" s="4">
        <v>0</v>
      </c>
      <c r="C200" s="4">
        <v>0</v>
      </c>
      <c r="D200" s="4">
        <v>1</v>
      </c>
      <c r="E200" s="4">
        <v>223</v>
      </c>
      <c r="F200" s="4">
        <f>ROUND(Source!AQ190,O200)</f>
        <v>0</v>
      </c>
      <c r="G200" s="4" t="s">
        <v>89</v>
      </c>
      <c r="H200" s="4" t="s">
        <v>90</v>
      </c>
      <c r="I200" s="4"/>
      <c r="J200" s="4"/>
      <c r="K200" s="4">
        <v>223</v>
      </c>
      <c r="L200" s="4">
        <v>9</v>
      </c>
      <c r="M200" s="4">
        <v>3</v>
      </c>
      <c r="N200" s="4" t="s">
        <v>3</v>
      </c>
      <c r="O200" s="4">
        <v>2</v>
      </c>
      <c r="P200" s="4"/>
      <c r="Q200" s="4"/>
      <c r="R200" s="4"/>
      <c r="S200" s="4"/>
      <c r="T200" s="4"/>
      <c r="U200" s="4"/>
      <c r="V200" s="4"/>
      <c r="W200" s="4"/>
    </row>
    <row r="201" spans="1:23" x14ac:dyDescent="0.2">
      <c r="A201" s="4">
        <v>50</v>
      </c>
      <c r="B201" s="4">
        <v>0</v>
      </c>
      <c r="C201" s="4">
        <v>0</v>
      </c>
      <c r="D201" s="4">
        <v>1</v>
      </c>
      <c r="E201" s="4">
        <v>229</v>
      </c>
      <c r="F201" s="4">
        <f>ROUND(Source!AZ190,O201)</f>
        <v>0</v>
      </c>
      <c r="G201" s="4" t="s">
        <v>91</v>
      </c>
      <c r="H201" s="4" t="s">
        <v>92</v>
      </c>
      <c r="I201" s="4"/>
      <c r="J201" s="4"/>
      <c r="K201" s="4">
        <v>229</v>
      </c>
      <c r="L201" s="4">
        <v>10</v>
      </c>
      <c r="M201" s="4">
        <v>3</v>
      </c>
      <c r="N201" s="4" t="s">
        <v>3</v>
      </c>
      <c r="O201" s="4">
        <v>2</v>
      </c>
      <c r="P201" s="4"/>
      <c r="Q201" s="4"/>
      <c r="R201" s="4"/>
      <c r="S201" s="4"/>
      <c r="T201" s="4"/>
      <c r="U201" s="4"/>
      <c r="V201" s="4"/>
      <c r="W201" s="4"/>
    </row>
    <row r="202" spans="1:23" x14ac:dyDescent="0.2">
      <c r="A202" s="4">
        <v>50</v>
      </c>
      <c r="B202" s="4">
        <v>0</v>
      </c>
      <c r="C202" s="4">
        <v>0</v>
      </c>
      <c r="D202" s="4">
        <v>1</v>
      </c>
      <c r="E202" s="4">
        <v>203</v>
      </c>
      <c r="F202" s="4">
        <f>ROUND(Source!Q190,O202)</f>
        <v>0</v>
      </c>
      <c r="G202" s="4" t="s">
        <v>93</v>
      </c>
      <c r="H202" s="4" t="s">
        <v>94</v>
      </c>
      <c r="I202" s="4"/>
      <c r="J202" s="4"/>
      <c r="K202" s="4">
        <v>203</v>
      </c>
      <c r="L202" s="4">
        <v>11</v>
      </c>
      <c r="M202" s="4">
        <v>3</v>
      </c>
      <c r="N202" s="4" t="s">
        <v>3</v>
      </c>
      <c r="O202" s="4">
        <v>2</v>
      </c>
      <c r="P202" s="4"/>
      <c r="Q202" s="4"/>
      <c r="R202" s="4"/>
      <c r="S202" s="4"/>
      <c r="T202" s="4"/>
      <c r="U202" s="4"/>
      <c r="V202" s="4"/>
      <c r="W202" s="4"/>
    </row>
    <row r="203" spans="1:23" x14ac:dyDescent="0.2">
      <c r="A203" s="4">
        <v>50</v>
      </c>
      <c r="B203" s="4">
        <v>0</v>
      </c>
      <c r="C203" s="4">
        <v>0</v>
      </c>
      <c r="D203" s="4">
        <v>1</v>
      </c>
      <c r="E203" s="4">
        <v>231</v>
      </c>
      <c r="F203" s="4">
        <f>ROUND(Source!BB190,O203)</f>
        <v>0</v>
      </c>
      <c r="G203" s="4" t="s">
        <v>95</v>
      </c>
      <c r="H203" s="4" t="s">
        <v>96</v>
      </c>
      <c r="I203" s="4"/>
      <c r="J203" s="4"/>
      <c r="K203" s="4">
        <v>231</v>
      </c>
      <c r="L203" s="4">
        <v>12</v>
      </c>
      <c r="M203" s="4">
        <v>3</v>
      </c>
      <c r="N203" s="4" t="s">
        <v>3</v>
      </c>
      <c r="O203" s="4">
        <v>2</v>
      </c>
      <c r="P203" s="4"/>
      <c r="Q203" s="4"/>
      <c r="R203" s="4"/>
      <c r="S203" s="4"/>
      <c r="T203" s="4"/>
      <c r="U203" s="4"/>
      <c r="V203" s="4"/>
      <c r="W203" s="4"/>
    </row>
    <row r="204" spans="1:23" x14ac:dyDescent="0.2">
      <c r="A204" s="4">
        <v>50</v>
      </c>
      <c r="B204" s="4">
        <v>0</v>
      </c>
      <c r="C204" s="4">
        <v>0</v>
      </c>
      <c r="D204" s="4">
        <v>1</v>
      </c>
      <c r="E204" s="4">
        <v>204</v>
      </c>
      <c r="F204" s="4">
        <f>ROUND(Source!R190,O204)</f>
        <v>0</v>
      </c>
      <c r="G204" s="4" t="s">
        <v>97</v>
      </c>
      <c r="H204" s="4" t="s">
        <v>98</v>
      </c>
      <c r="I204" s="4"/>
      <c r="J204" s="4"/>
      <c r="K204" s="4">
        <v>204</v>
      </c>
      <c r="L204" s="4">
        <v>13</v>
      </c>
      <c r="M204" s="4">
        <v>3</v>
      </c>
      <c r="N204" s="4" t="s">
        <v>3</v>
      </c>
      <c r="O204" s="4">
        <v>2</v>
      </c>
      <c r="P204" s="4"/>
      <c r="Q204" s="4"/>
      <c r="R204" s="4"/>
      <c r="S204" s="4"/>
      <c r="T204" s="4"/>
      <c r="U204" s="4"/>
      <c r="V204" s="4"/>
      <c r="W204" s="4"/>
    </row>
    <row r="205" spans="1:23" x14ac:dyDescent="0.2">
      <c r="A205" s="4">
        <v>50</v>
      </c>
      <c r="B205" s="4">
        <v>0</v>
      </c>
      <c r="C205" s="4">
        <v>0</v>
      </c>
      <c r="D205" s="4">
        <v>1</v>
      </c>
      <c r="E205" s="4">
        <v>205</v>
      </c>
      <c r="F205" s="4">
        <f>ROUND(Source!S190,O205)</f>
        <v>30.03</v>
      </c>
      <c r="G205" s="4" t="s">
        <v>99</v>
      </c>
      <c r="H205" s="4" t="s">
        <v>100</v>
      </c>
      <c r="I205" s="4"/>
      <c r="J205" s="4"/>
      <c r="K205" s="4">
        <v>205</v>
      </c>
      <c r="L205" s="4">
        <v>14</v>
      </c>
      <c r="M205" s="4">
        <v>3</v>
      </c>
      <c r="N205" s="4" t="s">
        <v>3</v>
      </c>
      <c r="O205" s="4">
        <v>2</v>
      </c>
      <c r="P205" s="4"/>
      <c r="Q205" s="4"/>
      <c r="R205" s="4"/>
      <c r="S205" s="4"/>
      <c r="T205" s="4"/>
      <c r="U205" s="4"/>
      <c r="V205" s="4"/>
      <c r="W205" s="4"/>
    </row>
    <row r="206" spans="1:23" x14ac:dyDescent="0.2">
      <c r="A206" s="4">
        <v>50</v>
      </c>
      <c r="B206" s="4">
        <v>0</v>
      </c>
      <c r="C206" s="4">
        <v>0</v>
      </c>
      <c r="D206" s="4">
        <v>1</v>
      </c>
      <c r="E206" s="4">
        <v>232</v>
      </c>
      <c r="F206" s="4">
        <f>ROUND(Source!BC190,O206)</f>
        <v>0</v>
      </c>
      <c r="G206" s="4" t="s">
        <v>101</v>
      </c>
      <c r="H206" s="4" t="s">
        <v>102</v>
      </c>
      <c r="I206" s="4"/>
      <c r="J206" s="4"/>
      <c r="K206" s="4">
        <v>232</v>
      </c>
      <c r="L206" s="4">
        <v>15</v>
      </c>
      <c r="M206" s="4">
        <v>3</v>
      </c>
      <c r="N206" s="4" t="s">
        <v>3</v>
      </c>
      <c r="O206" s="4">
        <v>2</v>
      </c>
      <c r="P206" s="4"/>
      <c r="Q206" s="4"/>
      <c r="R206" s="4"/>
      <c r="S206" s="4"/>
      <c r="T206" s="4"/>
      <c r="U206" s="4"/>
      <c r="V206" s="4"/>
      <c r="W206" s="4"/>
    </row>
    <row r="207" spans="1:23" x14ac:dyDescent="0.2">
      <c r="A207" s="4">
        <v>50</v>
      </c>
      <c r="B207" s="4">
        <v>0</v>
      </c>
      <c r="C207" s="4">
        <v>0</v>
      </c>
      <c r="D207" s="4">
        <v>1</v>
      </c>
      <c r="E207" s="4">
        <v>214</v>
      </c>
      <c r="F207" s="4">
        <f>ROUND(Source!AS190,O207)</f>
        <v>64.260000000000005</v>
      </c>
      <c r="G207" s="4" t="s">
        <v>103</v>
      </c>
      <c r="H207" s="4" t="s">
        <v>104</v>
      </c>
      <c r="I207" s="4"/>
      <c r="J207" s="4"/>
      <c r="K207" s="4">
        <v>214</v>
      </c>
      <c r="L207" s="4">
        <v>16</v>
      </c>
      <c r="M207" s="4">
        <v>3</v>
      </c>
      <c r="N207" s="4" t="s">
        <v>3</v>
      </c>
      <c r="O207" s="4">
        <v>2</v>
      </c>
      <c r="P207" s="4"/>
      <c r="Q207" s="4"/>
      <c r="R207" s="4"/>
      <c r="S207" s="4"/>
      <c r="T207" s="4"/>
      <c r="U207" s="4"/>
      <c r="V207" s="4"/>
      <c r="W207" s="4"/>
    </row>
    <row r="208" spans="1:23" x14ac:dyDescent="0.2">
      <c r="A208" s="4">
        <v>50</v>
      </c>
      <c r="B208" s="4">
        <v>0</v>
      </c>
      <c r="C208" s="4">
        <v>0</v>
      </c>
      <c r="D208" s="4">
        <v>1</v>
      </c>
      <c r="E208" s="4">
        <v>215</v>
      </c>
      <c r="F208" s="4">
        <f>ROUND(Source!AT190,O208)</f>
        <v>0</v>
      </c>
      <c r="G208" s="4" t="s">
        <v>105</v>
      </c>
      <c r="H208" s="4" t="s">
        <v>106</v>
      </c>
      <c r="I208" s="4"/>
      <c r="J208" s="4"/>
      <c r="K208" s="4">
        <v>215</v>
      </c>
      <c r="L208" s="4">
        <v>17</v>
      </c>
      <c r="M208" s="4">
        <v>3</v>
      </c>
      <c r="N208" s="4" t="s">
        <v>3</v>
      </c>
      <c r="O208" s="4">
        <v>2</v>
      </c>
      <c r="P208" s="4"/>
      <c r="Q208" s="4"/>
      <c r="R208" s="4"/>
      <c r="S208" s="4"/>
      <c r="T208" s="4"/>
      <c r="U208" s="4"/>
      <c r="V208" s="4"/>
      <c r="W208" s="4"/>
    </row>
    <row r="209" spans="1:206" x14ac:dyDescent="0.2">
      <c r="A209" s="4">
        <v>50</v>
      </c>
      <c r="B209" s="4">
        <v>0</v>
      </c>
      <c r="C209" s="4">
        <v>0</v>
      </c>
      <c r="D209" s="4">
        <v>1</v>
      </c>
      <c r="E209" s="4">
        <v>217</v>
      </c>
      <c r="F209" s="4">
        <f>ROUND(Source!AU190,O209)</f>
        <v>0</v>
      </c>
      <c r="G209" s="4" t="s">
        <v>107</v>
      </c>
      <c r="H209" s="4" t="s">
        <v>108</v>
      </c>
      <c r="I209" s="4"/>
      <c r="J209" s="4"/>
      <c r="K209" s="4">
        <v>217</v>
      </c>
      <c r="L209" s="4">
        <v>18</v>
      </c>
      <c r="M209" s="4">
        <v>3</v>
      </c>
      <c r="N209" s="4" t="s">
        <v>3</v>
      </c>
      <c r="O209" s="4">
        <v>2</v>
      </c>
      <c r="P209" s="4"/>
      <c r="Q209" s="4"/>
      <c r="R209" s="4"/>
      <c r="S209" s="4"/>
      <c r="T209" s="4"/>
      <c r="U209" s="4"/>
      <c r="V209" s="4"/>
      <c r="W209" s="4"/>
    </row>
    <row r="210" spans="1:206" x14ac:dyDescent="0.2">
      <c r="A210" s="4">
        <v>50</v>
      </c>
      <c r="B210" s="4">
        <v>0</v>
      </c>
      <c r="C210" s="4">
        <v>0</v>
      </c>
      <c r="D210" s="4">
        <v>1</v>
      </c>
      <c r="E210" s="4">
        <v>230</v>
      </c>
      <c r="F210" s="4">
        <f>ROUND(Source!BA190,O210)</f>
        <v>0</v>
      </c>
      <c r="G210" s="4" t="s">
        <v>109</v>
      </c>
      <c r="H210" s="4" t="s">
        <v>110</v>
      </c>
      <c r="I210" s="4"/>
      <c r="J210" s="4"/>
      <c r="K210" s="4">
        <v>230</v>
      </c>
      <c r="L210" s="4">
        <v>19</v>
      </c>
      <c r="M210" s="4">
        <v>3</v>
      </c>
      <c r="N210" s="4" t="s">
        <v>3</v>
      </c>
      <c r="O210" s="4">
        <v>2</v>
      </c>
      <c r="P210" s="4"/>
      <c r="Q210" s="4"/>
      <c r="R210" s="4"/>
      <c r="S210" s="4"/>
      <c r="T210" s="4"/>
      <c r="U210" s="4"/>
      <c r="V210" s="4"/>
      <c r="W210" s="4"/>
    </row>
    <row r="211" spans="1:206" x14ac:dyDescent="0.2">
      <c r="A211" s="4">
        <v>50</v>
      </c>
      <c r="B211" s="4">
        <v>0</v>
      </c>
      <c r="C211" s="4">
        <v>0</v>
      </c>
      <c r="D211" s="4">
        <v>1</v>
      </c>
      <c r="E211" s="4">
        <v>206</v>
      </c>
      <c r="F211" s="4">
        <f>ROUND(Source!T190,O211)</f>
        <v>0</v>
      </c>
      <c r="G211" s="4" t="s">
        <v>111</v>
      </c>
      <c r="H211" s="4" t="s">
        <v>112</v>
      </c>
      <c r="I211" s="4"/>
      <c r="J211" s="4"/>
      <c r="K211" s="4">
        <v>206</v>
      </c>
      <c r="L211" s="4">
        <v>20</v>
      </c>
      <c r="M211" s="4">
        <v>3</v>
      </c>
      <c r="N211" s="4" t="s">
        <v>3</v>
      </c>
      <c r="O211" s="4">
        <v>2</v>
      </c>
      <c r="P211" s="4"/>
      <c r="Q211" s="4"/>
      <c r="R211" s="4"/>
      <c r="S211" s="4"/>
      <c r="T211" s="4"/>
      <c r="U211" s="4"/>
      <c r="V211" s="4"/>
      <c r="W211" s="4"/>
    </row>
    <row r="212" spans="1:206" x14ac:dyDescent="0.2">
      <c r="A212" s="4">
        <v>50</v>
      </c>
      <c r="B212" s="4">
        <v>0</v>
      </c>
      <c r="C212" s="4">
        <v>0</v>
      </c>
      <c r="D212" s="4">
        <v>1</v>
      </c>
      <c r="E212" s="4">
        <v>207</v>
      </c>
      <c r="F212" s="4">
        <f>Source!U190</f>
        <v>0.12815280000000001</v>
      </c>
      <c r="G212" s="4" t="s">
        <v>113</v>
      </c>
      <c r="H212" s="4" t="s">
        <v>114</v>
      </c>
      <c r="I212" s="4"/>
      <c r="J212" s="4"/>
      <c r="K212" s="4">
        <v>207</v>
      </c>
      <c r="L212" s="4">
        <v>21</v>
      </c>
      <c r="M212" s="4">
        <v>3</v>
      </c>
      <c r="N212" s="4" t="s">
        <v>3</v>
      </c>
      <c r="O212" s="4">
        <v>-1</v>
      </c>
      <c r="P212" s="4"/>
      <c r="Q212" s="4"/>
      <c r="R212" s="4"/>
      <c r="S212" s="4"/>
      <c r="T212" s="4"/>
      <c r="U212" s="4"/>
      <c r="V212" s="4"/>
      <c r="W212" s="4"/>
    </row>
    <row r="213" spans="1:206" x14ac:dyDescent="0.2">
      <c r="A213" s="4">
        <v>50</v>
      </c>
      <c r="B213" s="4">
        <v>0</v>
      </c>
      <c r="C213" s="4">
        <v>0</v>
      </c>
      <c r="D213" s="4">
        <v>1</v>
      </c>
      <c r="E213" s="4">
        <v>208</v>
      </c>
      <c r="F213" s="4">
        <f>Source!V190</f>
        <v>0</v>
      </c>
      <c r="G213" s="4" t="s">
        <v>115</v>
      </c>
      <c r="H213" s="4" t="s">
        <v>116</v>
      </c>
      <c r="I213" s="4"/>
      <c r="J213" s="4"/>
      <c r="K213" s="4">
        <v>208</v>
      </c>
      <c r="L213" s="4">
        <v>22</v>
      </c>
      <c r="M213" s="4">
        <v>3</v>
      </c>
      <c r="N213" s="4" t="s">
        <v>3</v>
      </c>
      <c r="O213" s="4">
        <v>-1</v>
      </c>
      <c r="P213" s="4"/>
      <c r="Q213" s="4"/>
      <c r="R213" s="4"/>
      <c r="S213" s="4"/>
      <c r="T213" s="4"/>
      <c r="U213" s="4"/>
      <c r="V213" s="4"/>
      <c r="W213" s="4"/>
    </row>
    <row r="214" spans="1:206" x14ac:dyDescent="0.2">
      <c r="A214" s="4">
        <v>50</v>
      </c>
      <c r="B214" s="4">
        <v>0</v>
      </c>
      <c r="C214" s="4">
        <v>0</v>
      </c>
      <c r="D214" s="4">
        <v>1</v>
      </c>
      <c r="E214" s="4">
        <v>209</v>
      </c>
      <c r="F214" s="4">
        <f>ROUND(Source!W190,O214)</f>
        <v>0</v>
      </c>
      <c r="G214" s="4" t="s">
        <v>117</v>
      </c>
      <c r="H214" s="4" t="s">
        <v>118</v>
      </c>
      <c r="I214" s="4"/>
      <c r="J214" s="4"/>
      <c r="K214" s="4">
        <v>209</v>
      </c>
      <c r="L214" s="4">
        <v>23</v>
      </c>
      <c r="M214" s="4">
        <v>3</v>
      </c>
      <c r="N214" s="4" t="s">
        <v>3</v>
      </c>
      <c r="O214" s="4">
        <v>2</v>
      </c>
      <c r="P214" s="4"/>
      <c r="Q214" s="4"/>
      <c r="R214" s="4"/>
      <c r="S214" s="4"/>
      <c r="T214" s="4"/>
      <c r="U214" s="4"/>
      <c r="V214" s="4"/>
      <c r="W214" s="4"/>
    </row>
    <row r="215" spans="1:206" x14ac:dyDescent="0.2">
      <c r="A215" s="4">
        <v>50</v>
      </c>
      <c r="B215" s="4">
        <v>0</v>
      </c>
      <c r="C215" s="4">
        <v>0</v>
      </c>
      <c r="D215" s="4">
        <v>1</v>
      </c>
      <c r="E215" s="4">
        <v>233</v>
      </c>
      <c r="F215" s="4">
        <f>ROUND(Source!BD190,O215)</f>
        <v>0</v>
      </c>
      <c r="G215" s="4" t="s">
        <v>119</v>
      </c>
      <c r="H215" s="4" t="s">
        <v>120</v>
      </c>
      <c r="I215" s="4"/>
      <c r="J215" s="4"/>
      <c r="K215" s="4">
        <v>233</v>
      </c>
      <c r="L215" s="4">
        <v>24</v>
      </c>
      <c r="M215" s="4">
        <v>3</v>
      </c>
      <c r="N215" s="4" t="s">
        <v>3</v>
      </c>
      <c r="O215" s="4">
        <v>2</v>
      </c>
      <c r="P215" s="4"/>
      <c r="Q215" s="4"/>
      <c r="R215" s="4"/>
      <c r="S215" s="4"/>
      <c r="T215" s="4"/>
      <c r="U215" s="4"/>
      <c r="V215" s="4"/>
      <c r="W215" s="4"/>
    </row>
    <row r="216" spans="1:206" x14ac:dyDescent="0.2">
      <c r="A216" s="4">
        <v>50</v>
      </c>
      <c r="B216" s="4">
        <v>0</v>
      </c>
      <c r="C216" s="4">
        <v>0</v>
      </c>
      <c r="D216" s="4">
        <v>1</v>
      </c>
      <c r="E216" s="4">
        <v>210</v>
      </c>
      <c r="F216" s="4">
        <f>ROUND(Source!X190,O216)</f>
        <v>21.92</v>
      </c>
      <c r="G216" s="4" t="s">
        <v>121</v>
      </c>
      <c r="H216" s="4" t="s">
        <v>122</v>
      </c>
      <c r="I216" s="4"/>
      <c r="J216" s="4"/>
      <c r="K216" s="4">
        <v>210</v>
      </c>
      <c r="L216" s="4">
        <v>25</v>
      </c>
      <c r="M216" s="4">
        <v>3</v>
      </c>
      <c r="N216" s="4" t="s">
        <v>3</v>
      </c>
      <c r="O216" s="4">
        <v>2</v>
      </c>
      <c r="P216" s="4"/>
      <c r="Q216" s="4"/>
      <c r="R216" s="4"/>
      <c r="S216" s="4"/>
      <c r="T216" s="4"/>
      <c r="U216" s="4"/>
      <c r="V216" s="4"/>
      <c r="W216" s="4"/>
    </row>
    <row r="217" spans="1:206" x14ac:dyDescent="0.2">
      <c r="A217" s="4">
        <v>50</v>
      </c>
      <c r="B217" s="4">
        <v>0</v>
      </c>
      <c r="C217" s="4">
        <v>0</v>
      </c>
      <c r="D217" s="4">
        <v>1</v>
      </c>
      <c r="E217" s="4">
        <v>211</v>
      </c>
      <c r="F217" s="4">
        <f>ROUND(Source!Y190,O217)</f>
        <v>12.31</v>
      </c>
      <c r="G217" s="4" t="s">
        <v>123</v>
      </c>
      <c r="H217" s="4" t="s">
        <v>124</v>
      </c>
      <c r="I217" s="4"/>
      <c r="J217" s="4"/>
      <c r="K217" s="4">
        <v>211</v>
      </c>
      <c r="L217" s="4">
        <v>26</v>
      </c>
      <c r="M217" s="4">
        <v>3</v>
      </c>
      <c r="N217" s="4" t="s">
        <v>3</v>
      </c>
      <c r="O217" s="4">
        <v>2</v>
      </c>
      <c r="P217" s="4"/>
      <c r="Q217" s="4"/>
      <c r="R217" s="4"/>
      <c r="S217" s="4"/>
      <c r="T217" s="4"/>
      <c r="U217" s="4"/>
      <c r="V217" s="4"/>
      <c r="W217" s="4"/>
    </row>
    <row r="218" spans="1:206" x14ac:dyDescent="0.2">
      <c r="A218" s="4">
        <v>50</v>
      </c>
      <c r="B218" s="4">
        <v>0</v>
      </c>
      <c r="C218" s="4">
        <v>0</v>
      </c>
      <c r="D218" s="4">
        <v>1</v>
      </c>
      <c r="E218" s="4">
        <v>224</v>
      </c>
      <c r="F218" s="4">
        <f>ROUND(Source!AR190,O218)</f>
        <v>64.260000000000005</v>
      </c>
      <c r="G218" s="4" t="s">
        <v>125</v>
      </c>
      <c r="H218" s="4" t="s">
        <v>126</v>
      </c>
      <c r="I218" s="4"/>
      <c r="J218" s="4"/>
      <c r="K218" s="4">
        <v>224</v>
      </c>
      <c r="L218" s="4">
        <v>27</v>
      </c>
      <c r="M218" s="4">
        <v>3</v>
      </c>
      <c r="N218" s="4" t="s">
        <v>3</v>
      </c>
      <c r="O218" s="4">
        <v>2</v>
      </c>
      <c r="P218" s="4"/>
      <c r="Q218" s="4"/>
      <c r="R218" s="4"/>
      <c r="S218" s="4"/>
      <c r="T218" s="4"/>
      <c r="U218" s="4"/>
      <c r="V218" s="4"/>
      <c r="W218" s="4"/>
    </row>
    <row r="220" spans="1:206" x14ac:dyDescent="0.2">
      <c r="A220" s="2">
        <v>51</v>
      </c>
      <c r="B220" s="2">
        <f>B20</f>
        <v>1</v>
      </c>
      <c r="C220" s="2">
        <f>A20</f>
        <v>3</v>
      </c>
      <c r="D220" s="2">
        <f>ROW(A20)</f>
        <v>20</v>
      </c>
      <c r="E220" s="2"/>
      <c r="F220" s="2" t="str">
        <f>IF(F20&lt;&gt;"",F20,"")</f>
        <v>Новая локальная смета</v>
      </c>
      <c r="G220" s="2" t="str">
        <f>IF(G20&lt;&gt;"",G20,"")</f>
        <v>КЛ-0,4 от ул. Центральная, д.6 до ул.Центральная, д.8.</v>
      </c>
      <c r="H220" s="2">
        <v>0</v>
      </c>
      <c r="I220" s="2"/>
      <c r="J220" s="2"/>
      <c r="K220" s="2"/>
      <c r="L220" s="2"/>
      <c r="M220" s="2"/>
      <c r="N220" s="2"/>
      <c r="O220" s="2">
        <f t="shared" ref="O220:T220" si="105">ROUND(O37+O75+O115+O154+O190+AB220,2)</f>
        <v>83786.720000000001</v>
      </c>
      <c r="P220" s="2">
        <f t="shared" si="105"/>
        <v>38369.800000000003</v>
      </c>
      <c r="Q220" s="2">
        <f t="shared" si="105"/>
        <v>10434.129999999999</v>
      </c>
      <c r="R220" s="2">
        <f t="shared" si="105"/>
        <v>7231.06</v>
      </c>
      <c r="S220" s="2">
        <f t="shared" si="105"/>
        <v>34982.79</v>
      </c>
      <c r="T220" s="2">
        <f t="shared" si="105"/>
        <v>0</v>
      </c>
      <c r="U220" s="2">
        <f>U37+U75+U115+U154+U190+AH220</f>
        <v>126.47149428</v>
      </c>
      <c r="V220" s="2">
        <f>V37+V75+V115+V154+V190+AI220</f>
        <v>0</v>
      </c>
      <c r="W220" s="2">
        <f>ROUND(W37+W75+W115+W154+W190+AJ220,2)</f>
        <v>0</v>
      </c>
      <c r="X220" s="2">
        <f>ROUND(X37+X75+X115+X154+X190+AK220,2)</f>
        <v>25975.64</v>
      </c>
      <c r="Y220" s="2">
        <f>ROUND(Y37+Y75+Y115+Y154+Y190+AL220,2)</f>
        <v>14421.88</v>
      </c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>
        <f t="shared" ref="AO220:BD220" si="106">ROUND(AO37+AO75+AO115+AO154+AO190+BX220,2)</f>
        <v>0</v>
      </c>
      <c r="AP220" s="2">
        <f t="shared" si="106"/>
        <v>0</v>
      </c>
      <c r="AQ220" s="2">
        <f t="shared" si="106"/>
        <v>0</v>
      </c>
      <c r="AR220" s="2">
        <f t="shared" si="106"/>
        <v>135537.01999999999</v>
      </c>
      <c r="AS220" s="2">
        <f t="shared" si="106"/>
        <v>67157.440000000002</v>
      </c>
      <c r="AT220" s="2">
        <f t="shared" si="106"/>
        <v>62436.91</v>
      </c>
      <c r="AU220" s="2">
        <f t="shared" si="106"/>
        <v>5942.67</v>
      </c>
      <c r="AV220" s="2">
        <f t="shared" si="106"/>
        <v>38369.800000000003</v>
      </c>
      <c r="AW220" s="2">
        <f t="shared" si="106"/>
        <v>38369.800000000003</v>
      </c>
      <c r="AX220" s="2">
        <f t="shared" si="106"/>
        <v>0</v>
      </c>
      <c r="AY220" s="2">
        <f t="shared" si="106"/>
        <v>38369.800000000003</v>
      </c>
      <c r="AZ220" s="2">
        <f t="shared" si="106"/>
        <v>0</v>
      </c>
      <c r="BA220" s="2">
        <f t="shared" si="106"/>
        <v>0</v>
      </c>
      <c r="BB220" s="2">
        <f t="shared" si="106"/>
        <v>0</v>
      </c>
      <c r="BC220" s="2">
        <f t="shared" si="106"/>
        <v>0</v>
      </c>
      <c r="BD220" s="2">
        <f t="shared" si="106"/>
        <v>0</v>
      </c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>
        <v>0</v>
      </c>
    </row>
    <row r="222" spans="1:206" x14ac:dyDescent="0.2">
      <c r="A222" s="4">
        <v>50</v>
      </c>
      <c r="B222" s="4">
        <v>0</v>
      </c>
      <c r="C222" s="4">
        <v>0</v>
      </c>
      <c r="D222" s="4">
        <v>1</v>
      </c>
      <c r="E222" s="4">
        <v>201</v>
      </c>
      <c r="F222" s="4">
        <f>ROUND(Source!O220,O222)</f>
        <v>83786.720000000001</v>
      </c>
      <c r="G222" s="4" t="s">
        <v>73</v>
      </c>
      <c r="H222" s="4" t="s">
        <v>74</v>
      </c>
      <c r="I222" s="4"/>
      <c r="J222" s="4"/>
      <c r="K222" s="4">
        <v>201</v>
      </c>
      <c r="L222" s="4">
        <v>1</v>
      </c>
      <c r="M222" s="4">
        <v>3</v>
      </c>
      <c r="N222" s="4" t="s">
        <v>3</v>
      </c>
      <c r="O222" s="4">
        <v>2</v>
      </c>
      <c r="P222" s="4"/>
      <c r="Q222" s="4"/>
      <c r="R222" s="4"/>
      <c r="S222" s="4"/>
      <c r="T222" s="4"/>
      <c r="U222" s="4"/>
      <c r="V222" s="4"/>
      <c r="W222" s="4"/>
    </row>
    <row r="223" spans="1:206" x14ac:dyDescent="0.2">
      <c r="A223" s="4">
        <v>50</v>
      </c>
      <c r="B223" s="4">
        <v>0</v>
      </c>
      <c r="C223" s="4">
        <v>0</v>
      </c>
      <c r="D223" s="4">
        <v>1</v>
      </c>
      <c r="E223" s="4">
        <v>202</v>
      </c>
      <c r="F223" s="4">
        <f>ROUND(Source!P220,O223)</f>
        <v>38369.800000000003</v>
      </c>
      <c r="G223" s="4" t="s">
        <v>75</v>
      </c>
      <c r="H223" s="4" t="s">
        <v>76</v>
      </c>
      <c r="I223" s="4"/>
      <c r="J223" s="4"/>
      <c r="K223" s="4">
        <v>202</v>
      </c>
      <c r="L223" s="4">
        <v>2</v>
      </c>
      <c r="M223" s="4">
        <v>3</v>
      </c>
      <c r="N223" s="4" t="s">
        <v>3</v>
      </c>
      <c r="O223" s="4">
        <v>2</v>
      </c>
      <c r="P223" s="4"/>
      <c r="Q223" s="4"/>
      <c r="R223" s="4"/>
      <c r="S223" s="4"/>
      <c r="T223" s="4"/>
      <c r="U223" s="4"/>
      <c r="V223" s="4"/>
      <c r="W223" s="4"/>
    </row>
    <row r="224" spans="1:206" x14ac:dyDescent="0.2">
      <c r="A224" s="4">
        <v>50</v>
      </c>
      <c r="B224" s="4">
        <v>0</v>
      </c>
      <c r="C224" s="4">
        <v>0</v>
      </c>
      <c r="D224" s="4">
        <v>1</v>
      </c>
      <c r="E224" s="4">
        <v>222</v>
      </c>
      <c r="F224" s="4">
        <f>ROUND(Source!AO220,O224)</f>
        <v>0</v>
      </c>
      <c r="G224" s="4" t="s">
        <v>77</v>
      </c>
      <c r="H224" s="4" t="s">
        <v>78</v>
      </c>
      <c r="I224" s="4"/>
      <c r="J224" s="4"/>
      <c r="K224" s="4">
        <v>222</v>
      </c>
      <c r="L224" s="4">
        <v>3</v>
      </c>
      <c r="M224" s="4">
        <v>3</v>
      </c>
      <c r="N224" s="4" t="s">
        <v>3</v>
      </c>
      <c r="O224" s="4">
        <v>2</v>
      </c>
      <c r="P224" s="4"/>
      <c r="Q224" s="4"/>
      <c r="R224" s="4"/>
      <c r="S224" s="4"/>
      <c r="T224" s="4"/>
      <c r="U224" s="4"/>
      <c r="V224" s="4"/>
      <c r="W224" s="4"/>
    </row>
    <row r="225" spans="1:23" x14ac:dyDescent="0.2">
      <c r="A225" s="4">
        <v>50</v>
      </c>
      <c r="B225" s="4">
        <v>0</v>
      </c>
      <c r="C225" s="4">
        <v>0</v>
      </c>
      <c r="D225" s="4">
        <v>1</v>
      </c>
      <c r="E225" s="4">
        <v>225</v>
      </c>
      <c r="F225" s="4">
        <f>ROUND(Source!AV220,O225)</f>
        <v>38369.800000000003</v>
      </c>
      <c r="G225" s="4" t="s">
        <v>79</v>
      </c>
      <c r="H225" s="4" t="s">
        <v>80</v>
      </c>
      <c r="I225" s="4"/>
      <c r="J225" s="4"/>
      <c r="K225" s="4">
        <v>225</v>
      </c>
      <c r="L225" s="4">
        <v>4</v>
      </c>
      <c r="M225" s="4">
        <v>3</v>
      </c>
      <c r="N225" s="4" t="s">
        <v>3</v>
      </c>
      <c r="O225" s="4">
        <v>2</v>
      </c>
      <c r="P225" s="4"/>
      <c r="Q225" s="4"/>
      <c r="R225" s="4"/>
      <c r="S225" s="4"/>
      <c r="T225" s="4"/>
      <c r="U225" s="4"/>
      <c r="V225" s="4"/>
      <c r="W225" s="4"/>
    </row>
    <row r="226" spans="1:23" x14ac:dyDescent="0.2">
      <c r="A226" s="4">
        <v>50</v>
      </c>
      <c r="B226" s="4">
        <v>0</v>
      </c>
      <c r="C226" s="4">
        <v>0</v>
      </c>
      <c r="D226" s="4">
        <v>1</v>
      </c>
      <c r="E226" s="4">
        <v>226</v>
      </c>
      <c r="F226" s="4">
        <f>ROUND(Source!AW220,O226)</f>
        <v>38369.800000000003</v>
      </c>
      <c r="G226" s="4" t="s">
        <v>81</v>
      </c>
      <c r="H226" s="4" t="s">
        <v>82</v>
      </c>
      <c r="I226" s="4"/>
      <c r="J226" s="4"/>
      <c r="K226" s="4">
        <v>226</v>
      </c>
      <c r="L226" s="4">
        <v>5</v>
      </c>
      <c r="M226" s="4">
        <v>3</v>
      </c>
      <c r="N226" s="4" t="s">
        <v>3</v>
      </c>
      <c r="O226" s="4">
        <v>2</v>
      </c>
      <c r="P226" s="4"/>
      <c r="Q226" s="4"/>
      <c r="R226" s="4"/>
      <c r="S226" s="4"/>
      <c r="T226" s="4"/>
      <c r="U226" s="4"/>
      <c r="V226" s="4"/>
      <c r="W226" s="4"/>
    </row>
    <row r="227" spans="1:23" x14ac:dyDescent="0.2">
      <c r="A227" s="4">
        <v>50</v>
      </c>
      <c r="B227" s="4">
        <v>0</v>
      </c>
      <c r="C227" s="4">
        <v>0</v>
      </c>
      <c r="D227" s="4">
        <v>1</v>
      </c>
      <c r="E227" s="4">
        <v>227</v>
      </c>
      <c r="F227" s="4">
        <f>ROUND(Source!AX220,O227)</f>
        <v>0</v>
      </c>
      <c r="G227" s="4" t="s">
        <v>83</v>
      </c>
      <c r="H227" s="4" t="s">
        <v>84</v>
      </c>
      <c r="I227" s="4"/>
      <c r="J227" s="4"/>
      <c r="K227" s="4">
        <v>227</v>
      </c>
      <c r="L227" s="4">
        <v>6</v>
      </c>
      <c r="M227" s="4">
        <v>3</v>
      </c>
      <c r="N227" s="4" t="s">
        <v>3</v>
      </c>
      <c r="O227" s="4">
        <v>2</v>
      </c>
      <c r="P227" s="4"/>
      <c r="Q227" s="4"/>
      <c r="R227" s="4"/>
      <c r="S227" s="4"/>
      <c r="T227" s="4"/>
      <c r="U227" s="4"/>
      <c r="V227" s="4"/>
      <c r="W227" s="4"/>
    </row>
    <row r="228" spans="1:23" x14ac:dyDescent="0.2">
      <c r="A228" s="4">
        <v>50</v>
      </c>
      <c r="B228" s="4">
        <v>0</v>
      </c>
      <c r="C228" s="4">
        <v>0</v>
      </c>
      <c r="D228" s="4">
        <v>1</v>
      </c>
      <c r="E228" s="4">
        <v>228</v>
      </c>
      <c r="F228" s="4">
        <f>ROUND(Source!AY220,O228)</f>
        <v>38369.800000000003</v>
      </c>
      <c r="G228" s="4" t="s">
        <v>85</v>
      </c>
      <c r="H228" s="4" t="s">
        <v>86</v>
      </c>
      <c r="I228" s="4"/>
      <c r="J228" s="4"/>
      <c r="K228" s="4">
        <v>228</v>
      </c>
      <c r="L228" s="4">
        <v>7</v>
      </c>
      <c r="M228" s="4">
        <v>3</v>
      </c>
      <c r="N228" s="4" t="s">
        <v>3</v>
      </c>
      <c r="O228" s="4">
        <v>2</v>
      </c>
      <c r="P228" s="4"/>
      <c r="Q228" s="4"/>
      <c r="R228" s="4"/>
      <c r="S228" s="4"/>
      <c r="T228" s="4"/>
      <c r="U228" s="4"/>
      <c r="V228" s="4"/>
      <c r="W228" s="4"/>
    </row>
    <row r="229" spans="1:23" x14ac:dyDescent="0.2">
      <c r="A229" s="4">
        <v>50</v>
      </c>
      <c r="B229" s="4">
        <v>0</v>
      </c>
      <c r="C229" s="4">
        <v>0</v>
      </c>
      <c r="D229" s="4">
        <v>1</v>
      </c>
      <c r="E229" s="4">
        <v>216</v>
      </c>
      <c r="F229" s="4">
        <f>ROUND(Source!AP220,O229)</f>
        <v>0</v>
      </c>
      <c r="G229" s="4" t="s">
        <v>87</v>
      </c>
      <c r="H229" s="4" t="s">
        <v>88</v>
      </c>
      <c r="I229" s="4"/>
      <c r="J229" s="4"/>
      <c r="K229" s="4">
        <v>216</v>
      </c>
      <c r="L229" s="4">
        <v>8</v>
      </c>
      <c r="M229" s="4">
        <v>3</v>
      </c>
      <c r="N229" s="4" t="s">
        <v>3</v>
      </c>
      <c r="O229" s="4">
        <v>2</v>
      </c>
      <c r="P229" s="4"/>
      <c r="Q229" s="4"/>
      <c r="R229" s="4"/>
      <c r="S229" s="4"/>
      <c r="T229" s="4"/>
      <c r="U229" s="4"/>
      <c r="V229" s="4"/>
      <c r="W229" s="4"/>
    </row>
    <row r="230" spans="1:23" x14ac:dyDescent="0.2">
      <c r="A230" s="4">
        <v>50</v>
      </c>
      <c r="B230" s="4">
        <v>0</v>
      </c>
      <c r="C230" s="4">
        <v>0</v>
      </c>
      <c r="D230" s="4">
        <v>1</v>
      </c>
      <c r="E230" s="4">
        <v>223</v>
      </c>
      <c r="F230" s="4">
        <f>ROUND(Source!AQ220,O230)</f>
        <v>0</v>
      </c>
      <c r="G230" s="4" t="s">
        <v>89</v>
      </c>
      <c r="H230" s="4" t="s">
        <v>90</v>
      </c>
      <c r="I230" s="4"/>
      <c r="J230" s="4"/>
      <c r="K230" s="4">
        <v>223</v>
      </c>
      <c r="L230" s="4">
        <v>9</v>
      </c>
      <c r="M230" s="4">
        <v>3</v>
      </c>
      <c r="N230" s="4" t="s">
        <v>3</v>
      </c>
      <c r="O230" s="4">
        <v>2</v>
      </c>
      <c r="P230" s="4"/>
      <c r="Q230" s="4"/>
      <c r="R230" s="4"/>
      <c r="S230" s="4"/>
      <c r="T230" s="4"/>
      <c r="U230" s="4"/>
      <c r="V230" s="4"/>
      <c r="W230" s="4"/>
    </row>
    <row r="231" spans="1:23" x14ac:dyDescent="0.2">
      <c r="A231" s="4">
        <v>50</v>
      </c>
      <c r="B231" s="4">
        <v>0</v>
      </c>
      <c r="C231" s="4">
        <v>0</v>
      </c>
      <c r="D231" s="4">
        <v>1</v>
      </c>
      <c r="E231" s="4">
        <v>229</v>
      </c>
      <c r="F231" s="4">
        <f>ROUND(Source!AZ220,O231)</f>
        <v>0</v>
      </c>
      <c r="G231" s="4" t="s">
        <v>91</v>
      </c>
      <c r="H231" s="4" t="s">
        <v>92</v>
      </c>
      <c r="I231" s="4"/>
      <c r="J231" s="4"/>
      <c r="K231" s="4">
        <v>229</v>
      </c>
      <c r="L231" s="4">
        <v>10</v>
      </c>
      <c r="M231" s="4">
        <v>3</v>
      </c>
      <c r="N231" s="4" t="s">
        <v>3</v>
      </c>
      <c r="O231" s="4">
        <v>2</v>
      </c>
      <c r="P231" s="4"/>
      <c r="Q231" s="4"/>
      <c r="R231" s="4"/>
      <c r="S231" s="4"/>
      <c r="T231" s="4"/>
      <c r="U231" s="4"/>
      <c r="V231" s="4"/>
      <c r="W231" s="4"/>
    </row>
    <row r="232" spans="1:23" x14ac:dyDescent="0.2">
      <c r="A232" s="4">
        <v>50</v>
      </c>
      <c r="B232" s="4">
        <v>0</v>
      </c>
      <c r="C232" s="4">
        <v>0</v>
      </c>
      <c r="D232" s="4">
        <v>1</v>
      </c>
      <c r="E232" s="4">
        <v>203</v>
      </c>
      <c r="F232" s="4">
        <f>ROUND(Source!Q220,O232)</f>
        <v>10434.129999999999</v>
      </c>
      <c r="G232" s="4" t="s">
        <v>93</v>
      </c>
      <c r="H232" s="4" t="s">
        <v>94</v>
      </c>
      <c r="I232" s="4"/>
      <c r="J232" s="4"/>
      <c r="K232" s="4">
        <v>203</v>
      </c>
      <c r="L232" s="4">
        <v>11</v>
      </c>
      <c r="M232" s="4">
        <v>3</v>
      </c>
      <c r="N232" s="4" t="s">
        <v>3</v>
      </c>
      <c r="O232" s="4">
        <v>2</v>
      </c>
      <c r="P232" s="4"/>
      <c r="Q232" s="4"/>
      <c r="R232" s="4"/>
      <c r="S232" s="4"/>
      <c r="T232" s="4"/>
      <c r="U232" s="4"/>
      <c r="V232" s="4"/>
      <c r="W232" s="4"/>
    </row>
    <row r="233" spans="1:23" x14ac:dyDescent="0.2">
      <c r="A233" s="4">
        <v>50</v>
      </c>
      <c r="B233" s="4">
        <v>0</v>
      </c>
      <c r="C233" s="4">
        <v>0</v>
      </c>
      <c r="D233" s="4">
        <v>1</v>
      </c>
      <c r="E233" s="4">
        <v>231</v>
      </c>
      <c r="F233" s="4">
        <f>ROUND(Source!BB220,O233)</f>
        <v>0</v>
      </c>
      <c r="G233" s="4" t="s">
        <v>95</v>
      </c>
      <c r="H233" s="4" t="s">
        <v>96</v>
      </c>
      <c r="I233" s="4"/>
      <c r="J233" s="4"/>
      <c r="K233" s="4">
        <v>231</v>
      </c>
      <c r="L233" s="4">
        <v>12</v>
      </c>
      <c r="M233" s="4">
        <v>3</v>
      </c>
      <c r="N233" s="4" t="s">
        <v>3</v>
      </c>
      <c r="O233" s="4">
        <v>2</v>
      </c>
      <c r="P233" s="4"/>
      <c r="Q233" s="4"/>
      <c r="R233" s="4"/>
      <c r="S233" s="4"/>
      <c r="T233" s="4"/>
      <c r="U233" s="4"/>
      <c r="V233" s="4"/>
      <c r="W233" s="4"/>
    </row>
    <row r="234" spans="1:23" x14ac:dyDescent="0.2">
      <c r="A234" s="4">
        <v>50</v>
      </c>
      <c r="B234" s="4">
        <v>0</v>
      </c>
      <c r="C234" s="4">
        <v>0</v>
      </c>
      <c r="D234" s="4">
        <v>1</v>
      </c>
      <c r="E234" s="4">
        <v>204</v>
      </c>
      <c r="F234" s="4">
        <f>ROUND(Source!R220,O234)</f>
        <v>7231.06</v>
      </c>
      <c r="G234" s="4" t="s">
        <v>97</v>
      </c>
      <c r="H234" s="4" t="s">
        <v>98</v>
      </c>
      <c r="I234" s="4"/>
      <c r="J234" s="4"/>
      <c r="K234" s="4">
        <v>204</v>
      </c>
      <c r="L234" s="4">
        <v>13</v>
      </c>
      <c r="M234" s="4">
        <v>3</v>
      </c>
      <c r="N234" s="4" t="s">
        <v>3</v>
      </c>
      <c r="O234" s="4">
        <v>2</v>
      </c>
      <c r="P234" s="4"/>
      <c r="Q234" s="4"/>
      <c r="R234" s="4"/>
      <c r="S234" s="4"/>
      <c r="T234" s="4"/>
      <c r="U234" s="4"/>
      <c r="V234" s="4"/>
      <c r="W234" s="4"/>
    </row>
    <row r="235" spans="1:23" x14ac:dyDescent="0.2">
      <c r="A235" s="4">
        <v>50</v>
      </c>
      <c r="B235" s="4">
        <v>0</v>
      </c>
      <c r="C235" s="4">
        <v>0</v>
      </c>
      <c r="D235" s="4">
        <v>1</v>
      </c>
      <c r="E235" s="4">
        <v>205</v>
      </c>
      <c r="F235" s="4">
        <f>ROUND(Source!S220,O235)</f>
        <v>34982.79</v>
      </c>
      <c r="G235" s="4" t="s">
        <v>99</v>
      </c>
      <c r="H235" s="4" t="s">
        <v>100</v>
      </c>
      <c r="I235" s="4"/>
      <c r="J235" s="4"/>
      <c r="K235" s="4">
        <v>205</v>
      </c>
      <c r="L235" s="4">
        <v>14</v>
      </c>
      <c r="M235" s="4">
        <v>3</v>
      </c>
      <c r="N235" s="4" t="s">
        <v>3</v>
      </c>
      <c r="O235" s="4">
        <v>2</v>
      </c>
      <c r="P235" s="4"/>
      <c r="Q235" s="4"/>
      <c r="R235" s="4"/>
      <c r="S235" s="4"/>
      <c r="T235" s="4"/>
      <c r="U235" s="4"/>
      <c r="V235" s="4"/>
      <c r="W235" s="4"/>
    </row>
    <row r="236" spans="1:23" x14ac:dyDescent="0.2">
      <c r="A236" s="4">
        <v>50</v>
      </c>
      <c r="B236" s="4">
        <v>0</v>
      </c>
      <c r="C236" s="4">
        <v>0</v>
      </c>
      <c r="D236" s="4">
        <v>1</v>
      </c>
      <c r="E236" s="4">
        <v>232</v>
      </c>
      <c r="F236" s="4">
        <f>ROUND(Source!BC220,O236)</f>
        <v>0</v>
      </c>
      <c r="G236" s="4" t="s">
        <v>101</v>
      </c>
      <c r="H236" s="4" t="s">
        <v>102</v>
      </c>
      <c r="I236" s="4"/>
      <c r="J236" s="4"/>
      <c r="K236" s="4">
        <v>232</v>
      </c>
      <c r="L236" s="4">
        <v>15</v>
      </c>
      <c r="M236" s="4">
        <v>3</v>
      </c>
      <c r="N236" s="4" t="s">
        <v>3</v>
      </c>
      <c r="O236" s="4">
        <v>2</v>
      </c>
      <c r="P236" s="4"/>
      <c r="Q236" s="4"/>
      <c r="R236" s="4"/>
      <c r="S236" s="4"/>
      <c r="T236" s="4"/>
      <c r="U236" s="4"/>
      <c r="V236" s="4"/>
      <c r="W236" s="4"/>
    </row>
    <row r="237" spans="1:23" x14ac:dyDescent="0.2">
      <c r="A237" s="4">
        <v>50</v>
      </c>
      <c r="B237" s="4">
        <v>0</v>
      </c>
      <c r="C237" s="4">
        <v>0</v>
      </c>
      <c r="D237" s="4">
        <v>1</v>
      </c>
      <c r="E237" s="4">
        <v>214</v>
      </c>
      <c r="F237" s="4">
        <f>ROUND(Source!AS220,O237)</f>
        <v>67157.440000000002</v>
      </c>
      <c r="G237" s="4" t="s">
        <v>103</v>
      </c>
      <c r="H237" s="4" t="s">
        <v>104</v>
      </c>
      <c r="I237" s="4"/>
      <c r="J237" s="4"/>
      <c r="K237" s="4">
        <v>214</v>
      </c>
      <c r="L237" s="4">
        <v>16</v>
      </c>
      <c r="M237" s="4">
        <v>3</v>
      </c>
      <c r="N237" s="4" t="s">
        <v>3</v>
      </c>
      <c r="O237" s="4">
        <v>2</v>
      </c>
      <c r="P237" s="4"/>
      <c r="Q237" s="4"/>
      <c r="R237" s="4"/>
      <c r="S237" s="4"/>
      <c r="T237" s="4"/>
      <c r="U237" s="4"/>
      <c r="V237" s="4"/>
      <c r="W237" s="4"/>
    </row>
    <row r="238" spans="1:23" x14ac:dyDescent="0.2">
      <c r="A238" s="4">
        <v>50</v>
      </c>
      <c r="B238" s="4">
        <v>0</v>
      </c>
      <c r="C238" s="4">
        <v>0</v>
      </c>
      <c r="D238" s="4">
        <v>1</v>
      </c>
      <c r="E238" s="4">
        <v>215</v>
      </c>
      <c r="F238" s="4">
        <f>ROUND(Source!AT220,O238)</f>
        <v>62436.91</v>
      </c>
      <c r="G238" s="4" t="s">
        <v>105</v>
      </c>
      <c r="H238" s="4" t="s">
        <v>106</v>
      </c>
      <c r="I238" s="4"/>
      <c r="J238" s="4"/>
      <c r="K238" s="4">
        <v>215</v>
      </c>
      <c r="L238" s="4">
        <v>17</v>
      </c>
      <c r="M238" s="4">
        <v>3</v>
      </c>
      <c r="N238" s="4" t="s">
        <v>3</v>
      </c>
      <c r="O238" s="4">
        <v>2</v>
      </c>
      <c r="P238" s="4"/>
      <c r="Q238" s="4"/>
      <c r="R238" s="4"/>
      <c r="S238" s="4"/>
      <c r="T238" s="4"/>
      <c r="U238" s="4"/>
      <c r="V238" s="4"/>
      <c r="W238" s="4"/>
    </row>
    <row r="239" spans="1:23" x14ac:dyDescent="0.2">
      <c r="A239" s="4">
        <v>50</v>
      </c>
      <c r="B239" s="4">
        <v>0</v>
      </c>
      <c r="C239" s="4">
        <v>0</v>
      </c>
      <c r="D239" s="4">
        <v>1</v>
      </c>
      <c r="E239" s="4">
        <v>217</v>
      </c>
      <c r="F239" s="4">
        <f>ROUND(Source!AU220,O239)</f>
        <v>5942.67</v>
      </c>
      <c r="G239" s="4" t="s">
        <v>107</v>
      </c>
      <c r="H239" s="4" t="s">
        <v>108</v>
      </c>
      <c r="I239" s="4"/>
      <c r="J239" s="4"/>
      <c r="K239" s="4">
        <v>217</v>
      </c>
      <c r="L239" s="4">
        <v>18</v>
      </c>
      <c r="M239" s="4">
        <v>3</v>
      </c>
      <c r="N239" s="4" t="s">
        <v>3</v>
      </c>
      <c r="O239" s="4">
        <v>2</v>
      </c>
      <c r="P239" s="4"/>
      <c r="Q239" s="4"/>
      <c r="R239" s="4"/>
      <c r="S239" s="4"/>
      <c r="T239" s="4"/>
      <c r="U239" s="4"/>
      <c r="V239" s="4"/>
      <c r="W239" s="4"/>
    </row>
    <row r="240" spans="1:23" x14ac:dyDescent="0.2">
      <c r="A240" s="4">
        <v>50</v>
      </c>
      <c r="B240" s="4">
        <v>0</v>
      </c>
      <c r="C240" s="4">
        <v>0</v>
      </c>
      <c r="D240" s="4">
        <v>1</v>
      </c>
      <c r="E240" s="4">
        <v>230</v>
      </c>
      <c r="F240" s="4">
        <f>ROUND(Source!BA220,O240)</f>
        <v>0</v>
      </c>
      <c r="G240" s="4" t="s">
        <v>109</v>
      </c>
      <c r="H240" s="4" t="s">
        <v>110</v>
      </c>
      <c r="I240" s="4"/>
      <c r="J240" s="4"/>
      <c r="K240" s="4">
        <v>230</v>
      </c>
      <c r="L240" s="4">
        <v>19</v>
      </c>
      <c r="M240" s="4">
        <v>3</v>
      </c>
      <c r="N240" s="4" t="s">
        <v>3</v>
      </c>
      <c r="O240" s="4">
        <v>2</v>
      </c>
      <c r="P240" s="4"/>
      <c r="Q240" s="4"/>
      <c r="R240" s="4"/>
      <c r="S240" s="4"/>
      <c r="T240" s="4"/>
      <c r="U240" s="4"/>
      <c r="V240" s="4"/>
      <c r="W240" s="4"/>
    </row>
    <row r="241" spans="1:206" x14ac:dyDescent="0.2">
      <c r="A241" s="4">
        <v>50</v>
      </c>
      <c r="B241" s="4">
        <v>0</v>
      </c>
      <c r="C241" s="4">
        <v>0</v>
      </c>
      <c r="D241" s="4">
        <v>1</v>
      </c>
      <c r="E241" s="4">
        <v>206</v>
      </c>
      <c r="F241" s="4">
        <f>ROUND(Source!T220,O241)</f>
        <v>0</v>
      </c>
      <c r="G241" s="4" t="s">
        <v>111</v>
      </c>
      <c r="H241" s="4" t="s">
        <v>112</v>
      </c>
      <c r="I241" s="4"/>
      <c r="J241" s="4"/>
      <c r="K241" s="4">
        <v>206</v>
      </c>
      <c r="L241" s="4">
        <v>20</v>
      </c>
      <c r="M241" s="4">
        <v>3</v>
      </c>
      <c r="N241" s="4" t="s">
        <v>3</v>
      </c>
      <c r="O241" s="4">
        <v>2</v>
      </c>
      <c r="P241" s="4"/>
      <c r="Q241" s="4"/>
      <c r="R241" s="4"/>
      <c r="S241" s="4"/>
      <c r="T241" s="4"/>
      <c r="U241" s="4"/>
      <c r="V241" s="4"/>
      <c r="W241" s="4"/>
    </row>
    <row r="242" spans="1:206" x14ac:dyDescent="0.2">
      <c r="A242" s="4">
        <v>50</v>
      </c>
      <c r="B242" s="4">
        <v>0</v>
      </c>
      <c r="C242" s="4">
        <v>0</v>
      </c>
      <c r="D242" s="4">
        <v>1</v>
      </c>
      <c r="E242" s="4">
        <v>207</v>
      </c>
      <c r="F242" s="4">
        <f>Source!U220</f>
        <v>126.47149428</v>
      </c>
      <c r="G242" s="4" t="s">
        <v>113</v>
      </c>
      <c r="H242" s="4" t="s">
        <v>114</v>
      </c>
      <c r="I242" s="4"/>
      <c r="J242" s="4"/>
      <c r="K242" s="4">
        <v>207</v>
      </c>
      <c r="L242" s="4">
        <v>21</v>
      </c>
      <c r="M242" s="4">
        <v>3</v>
      </c>
      <c r="N242" s="4" t="s">
        <v>3</v>
      </c>
      <c r="O242" s="4">
        <v>-1</v>
      </c>
      <c r="P242" s="4"/>
      <c r="Q242" s="4"/>
      <c r="R242" s="4"/>
      <c r="S242" s="4"/>
      <c r="T242" s="4"/>
      <c r="U242" s="4"/>
      <c r="V242" s="4"/>
      <c r="W242" s="4"/>
    </row>
    <row r="243" spans="1:206" x14ac:dyDescent="0.2">
      <c r="A243" s="4">
        <v>50</v>
      </c>
      <c r="B243" s="4">
        <v>0</v>
      </c>
      <c r="C243" s="4">
        <v>0</v>
      </c>
      <c r="D243" s="4">
        <v>1</v>
      </c>
      <c r="E243" s="4">
        <v>208</v>
      </c>
      <c r="F243" s="4">
        <f>Source!V220</f>
        <v>0</v>
      </c>
      <c r="G243" s="4" t="s">
        <v>115</v>
      </c>
      <c r="H243" s="4" t="s">
        <v>116</v>
      </c>
      <c r="I243" s="4"/>
      <c r="J243" s="4"/>
      <c r="K243" s="4">
        <v>208</v>
      </c>
      <c r="L243" s="4">
        <v>22</v>
      </c>
      <c r="M243" s="4">
        <v>3</v>
      </c>
      <c r="N243" s="4" t="s">
        <v>3</v>
      </c>
      <c r="O243" s="4">
        <v>-1</v>
      </c>
      <c r="P243" s="4"/>
      <c r="Q243" s="4"/>
      <c r="R243" s="4"/>
      <c r="S243" s="4"/>
      <c r="T243" s="4"/>
      <c r="U243" s="4"/>
      <c r="V243" s="4"/>
      <c r="W243" s="4"/>
    </row>
    <row r="244" spans="1:206" x14ac:dyDescent="0.2">
      <c r="A244" s="4">
        <v>50</v>
      </c>
      <c r="B244" s="4">
        <v>0</v>
      </c>
      <c r="C244" s="4">
        <v>0</v>
      </c>
      <c r="D244" s="4">
        <v>1</v>
      </c>
      <c r="E244" s="4">
        <v>209</v>
      </c>
      <c r="F244" s="4">
        <f>ROUND(Source!W220,O244)</f>
        <v>0</v>
      </c>
      <c r="G244" s="4" t="s">
        <v>117</v>
      </c>
      <c r="H244" s="4" t="s">
        <v>118</v>
      </c>
      <c r="I244" s="4"/>
      <c r="J244" s="4"/>
      <c r="K244" s="4">
        <v>209</v>
      </c>
      <c r="L244" s="4">
        <v>23</v>
      </c>
      <c r="M244" s="4">
        <v>3</v>
      </c>
      <c r="N244" s="4" t="s">
        <v>3</v>
      </c>
      <c r="O244" s="4">
        <v>2</v>
      </c>
      <c r="P244" s="4"/>
      <c r="Q244" s="4"/>
      <c r="R244" s="4"/>
      <c r="S244" s="4"/>
      <c r="T244" s="4"/>
      <c r="U244" s="4"/>
      <c r="V244" s="4"/>
      <c r="W244" s="4"/>
    </row>
    <row r="245" spans="1:206" x14ac:dyDescent="0.2">
      <c r="A245" s="4">
        <v>50</v>
      </c>
      <c r="B245" s="4">
        <v>0</v>
      </c>
      <c r="C245" s="4">
        <v>0</v>
      </c>
      <c r="D245" s="4">
        <v>1</v>
      </c>
      <c r="E245" s="4">
        <v>233</v>
      </c>
      <c r="F245" s="4">
        <f>ROUND(Source!BD220,O245)</f>
        <v>0</v>
      </c>
      <c r="G245" s="4" t="s">
        <v>119</v>
      </c>
      <c r="H245" s="4" t="s">
        <v>120</v>
      </c>
      <c r="I245" s="4"/>
      <c r="J245" s="4"/>
      <c r="K245" s="4">
        <v>233</v>
      </c>
      <c r="L245" s="4">
        <v>24</v>
      </c>
      <c r="M245" s="4">
        <v>3</v>
      </c>
      <c r="N245" s="4" t="s">
        <v>3</v>
      </c>
      <c r="O245" s="4">
        <v>2</v>
      </c>
      <c r="P245" s="4"/>
      <c r="Q245" s="4"/>
      <c r="R245" s="4"/>
      <c r="S245" s="4"/>
      <c r="T245" s="4"/>
      <c r="U245" s="4"/>
      <c r="V245" s="4"/>
      <c r="W245" s="4"/>
    </row>
    <row r="246" spans="1:206" x14ac:dyDescent="0.2">
      <c r="A246" s="4">
        <v>50</v>
      </c>
      <c r="B246" s="4">
        <v>0</v>
      </c>
      <c r="C246" s="4">
        <v>0</v>
      </c>
      <c r="D246" s="4">
        <v>1</v>
      </c>
      <c r="E246" s="4">
        <v>210</v>
      </c>
      <c r="F246" s="4">
        <f>ROUND(Source!X220,O246)</f>
        <v>25975.64</v>
      </c>
      <c r="G246" s="4" t="s">
        <v>121</v>
      </c>
      <c r="H246" s="4" t="s">
        <v>122</v>
      </c>
      <c r="I246" s="4"/>
      <c r="J246" s="4"/>
      <c r="K246" s="4">
        <v>210</v>
      </c>
      <c r="L246" s="4">
        <v>25</v>
      </c>
      <c r="M246" s="4">
        <v>3</v>
      </c>
      <c r="N246" s="4" t="s">
        <v>3</v>
      </c>
      <c r="O246" s="4">
        <v>2</v>
      </c>
      <c r="P246" s="4"/>
      <c r="Q246" s="4"/>
      <c r="R246" s="4"/>
      <c r="S246" s="4"/>
      <c r="T246" s="4"/>
      <c r="U246" s="4"/>
      <c r="V246" s="4"/>
      <c r="W246" s="4"/>
    </row>
    <row r="247" spans="1:206" x14ac:dyDescent="0.2">
      <c r="A247" s="4">
        <v>50</v>
      </c>
      <c r="B247" s="4">
        <v>0</v>
      </c>
      <c r="C247" s="4">
        <v>0</v>
      </c>
      <c r="D247" s="4">
        <v>1</v>
      </c>
      <c r="E247" s="4">
        <v>211</v>
      </c>
      <c r="F247" s="4">
        <f>ROUND(Source!Y220,O247)</f>
        <v>14421.88</v>
      </c>
      <c r="G247" s="4" t="s">
        <v>123</v>
      </c>
      <c r="H247" s="4" t="s">
        <v>124</v>
      </c>
      <c r="I247" s="4"/>
      <c r="J247" s="4"/>
      <c r="K247" s="4">
        <v>211</v>
      </c>
      <c r="L247" s="4">
        <v>26</v>
      </c>
      <c r="M247" s="4">
        <v>3</v>
      </c>
      <c r="N247" s="4" t="s">
        <v>3</v>
      </c>
      <c r="O247" s="4">
        <v>2</v>
      </c>
      <c r="P247" s="4"/>
      <c r="Q247" s="4"/>
      <c r="R247" s="4"/>
      <c r="S247" s="4"/>
      <c r="T247" s="4"/>
      <c r="U247" s="4"/>
      <c r="V247" s="4"/>
      <c r="W247" s="4"/>
    </row>
    <row r="248" spans="1:206" x14ac:dyDescent="0.2">
      <c r="A248" s="4">
        <v>50</v>
      </c>
      <c r="B248" s="4">
        <v>0</v>
      </c>
      <c r="C248" s="4">
        <v>0</v>
      </c>
      <c r="D248" s="4">
        <v>1</v>
      </c>
      <c r="E248" s="4">
        <v>224</v>
      </c>
      <c r="F248" s="4">
        <f>ROUND(Source!AR220,O248)</f>
        <v>135537.01999999999</v>
      </c>
      <c r="G248" s="4" t="s">
        <v>125</v>
      </c>
      <c r="H248" s="4" t="s">
        <v>126</v>
      </c>
      <c r="I248" s="4"/>
      <c r="J248" s="4"/>
      <c r="K248" s="4">
        <v>224</v>
      </c>
      <c r="L248" s="4">
        <v>27</v>
      </c>
      <c r="M248" s="4">
        <v>3</v>
      </c>
      <c r="N248" s="4" t="s">
        <v>3</v>
      </c>
      <c r="O248" s="4">
        <v>2</v>
      </c>
      <c r="P248" s="4"/>
      <c r="Q248" s="4"/>
      <c r="R248" s="4"/>
      <c r="S248" s="4"/>
      <c r="T248" s="4"/>
      <c r="U248" s="4"/>
      <c r="V248" s="4"/>
      <c r="W248" s="4"/>
    </row>
    <row r="250" spans="1:206" x14ac:dyDescent="0.2">
      <c r="A250" s="2">
        <v>51</v>
      </c>
      <c r="B250" s="2">
        <f>B12</f>
        <v>286</v>
      </c>
      <c r="C250" s="2">
        <f>A12</f>
        <v>1</v>
      </c>
      <c r="D250" s="2">
        <f>ROW(A12)</f>
        <v>12</v>
      </c>
      <c r="E250" s="2"/>
      <c r="F250" s="2" t="str">
        <f>IF(F12&lt;&gt;"",F12,"")</f>
        <v>КЛ-0,4 от ул.Центральная, д.6 до ул.Центральная, д.8.</v>
      </c>
      <c r="G250" s="2" t="str">
        <f>IF(G12&lt;&gt;"",G12,"")</f>
        <v>КЛ-0,4 от ул.Центральная, д.6 до ул.Центральная, д.8.</v>
      </c>
      <c r="H250" s="2">
        <v>0</v>
      </c>
      <c r="I250" s="2"/>
      <c r="J250" s="2"/>
      <c r="K250" s="2"/>
      <c r="L250" s="2"/>
      <c r="M250" s="2"/>
      <c r="N250" s="2"/>
      <c r="O250" s="2">
        <f t="shared" ref="O250:T250" si="107">ROUND(O220,2)</f>
        <v>83786.720000000001</v>
      </c>
      <c r="P250" s="2">
        <f t="shared" si="107"/>
        <v>38369.800000000003</v>
      </c>
      <c r="Q250" s="2">
        <f t="shared" si="107"/>
        <v>10434.129999999999</v>
      </c>
      <c r="R250" s="2">
        <f t="shared" si="107"/>
        <v>7231.06</v>
      </c>
      <c r="S250" s="2">
        <f t="shared" si="107"/>
        <v>34982.79</v>
      </c>
      <c r="T250" s="2">
        <f t="shared" si="107"/>
        <v>0</v>
      </c>
      <c r="U250" s="2">
        <f>U220</f>
        <v>126.47149428</v>
      </c>
      <c r="V250" s="2">
        <f>V220</f>
        <v>0</v>
      </c>
      <c r="W250" s="2">
        <f>ROUND(W220,2)</f>
        <v>0</v>
      </c>
      <c r="X250" s="2">
        <f>ROUND(X220,2)</f>
        <v>25975.64</v>
      </c>
      <c r="Y250" s="2">
        <f>ROUND(Y220,2)</f>
        <v>14421.88</v>
      </c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>
        <f t="shared" ref="AO250:BD250" si="108">ROUND(AO220,2)</f>
        <v>0</v>
      </c>
      <c r="AP250" s="2">
        <f t="shared" si="108"/>
        <v>0</v>
      </c>
      <c r="AQ250" s="2">
        <f t="shared" si="108"/>
        <v>0</v>
      </c>
      <c r="AR250" s="2">
        <f t="shared" si="108"/>
        <v>135537.01999999999</v>
      </c>
      <c r="AS250" s="2">
        <f t="shared" si="108"/>
        <v>67157.440000000002</v>
      </c>
      <c r="AT250" s="2">
        <f t="shared" si="108"/>
        <v>62436.91</v>
      </c>
      <c r="AU250" s="2">
        <f t="shared" si="108"/>
        <v>5942.67</v>
      </c>
      <c r="AV250" s="2">
        <f t="shared" si="108"/>
        <v>38369.800000000003</v>
      </c>
      <c r="AW250" s="2">
        <f t="shared" si="108"/>
        <v>38369.800000000003</v>
      </c>
      <c r="AX250" s="2">
        <f t="shared" si="108"/>
        <v>0</v>
      </c>
      <c r="AY250" s="2">
        <f t="shared" si="108"/>
        <v>38369.800000000003</v>
      </c>
      <c r="AZ250" s="2">
        <f t="shared" si="108"/>
        <v>0</v>
      </c>
      <c r="BA250" s="2">
        <f t="shared" si="108"/>
        <v>0</v>
      </c>
      <c r="BB250" s="2">
        <f t="shared" si="108"/>
        <v>0</v>
      </c>
      <c r="BC250" s="2">
        <f t="shared" si="108"/>
        <v>0</v>
      </c>
      <c r="BD250" s="2">
        <f t="shared" si="108"/>
        <v>0</v>
      </c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>
        <v>0</v>
      </c>
    </row>
    <row r="252" spans="1:206" x14ac:dyDescent="0.2">
      <c r="A252" s="4">
        <v>50</v>
      </c>
      <c r="B252" s="4">
        <v>0</v>
      </c>
      <c r="C252" s="4">
        <v>0</v>
      </c>
      <c r="D252" s="4">
        <v>1</v>
      </c>
      <c r="E252" s="4">
        <v>201</v>
      </c>
      <c r="F252" s="4">
        <f>ROUND(Source!O250,O252)</f>
        <v>83786.720000000001</v>
      </c>
      <c r="G252" s="4" t="s">
        <v>73</v>
      </c>
      <c r="H252" s="4" t="s">
        <v>74</v>
      </c>
      <c r="I252" s="4"/>
      <c r="J252" s="4"/>
      <c r="K252" s="4">
        <v>201</v>
      </c>
      <c r="L252" s="4">
        <v>1</v>
      </c>
      <c r="M252" s="4">
        <v>3</v>
      </c>
      <c r="N252" s="4" t="s">
        <v>3</v>
      </c>
      <c r="O252" s="4">
        <v>2</v>
      </c>
      <c r="P252" s="4"/>
      <c r="Q252" s="4"/>
      <c r="R252" s="4"/>
      <c r="S252" s="4"/>
      <c r="T252" s="4"/>
      <c r="U252" s="4"/>
      <c r="V252" s="4"/>
      <c r="W252" s="4"/>
    </row>
    <row r="253" spans="1:206" x14ac:dyDescent="0.2">
      <c r="A253" s="4">
        <v>50</v>
      </c>
      <c r="B253" s="4">
        <v>0</v>
      </c>
      <c r="C253" s="4">
        <v>0</v>
      </c>
      <c r="D253" s="4">
        <v>1</v>
      </c>
      <c r="E253" s="4">
        <v>202</v>
      </c>
      <c r="F253" s="4">
        <f>ROUND(Source!P250,O253)</f>
        <v>38369.800000000003</v>
      </c>
      <c r="G253" s="4" t="s">
        <v>75</v>
      </c>
      <c r="H253" s="4" t="s">
        <v>76</v>
      </c>
      <c r="I253" s="4"/>
      <c r="J253" s="4"/>
      <c r="K253" s="4">
        <v>202</v>
      </c>
      <c r="L253" s="4">
        <v>2</v>
      </c>
      <c r="M253" s="4">
        <v>3</v>
      </c>
      <c r="N253" s="4" t="s">
        <v>3</v>
      </c>
      <c r="O253" s="4">
        <v>2</v>
      </c>
      <c r="P253" s="4"/>
      <c r="Q253" s="4"/>
      <c r="R253" s="4"/>
      <c r="S253" s="4"/>
      <c r="T253" s="4"/>
      <c r="U253" s="4"/>
      <c r="V253" s="4"/>
      <c r="W253" s="4"/>
    </row>
    <row r="254" spans="1:206" x14ac:dyDescent="0.2">
      <c r="A254" s="4">
        <v>50</v>
      </c>
      <c r="B254" s="4">
        <v>0</v>
      </c>
      <c r="C254" s="4">
        <v>0</v>
      </c>
      <c r="D254" s="4">
        <v>1</v>
      </c>
      <c r="E254" s="4">
        <v>222</v>
      </c>
      <c r="F254" s="4">
        <f>ROUND(Source!AO250,O254)</f>
        <v>0</v>
      </c>
      <c r="G254" s="4" t="s">
        <v>77</v>
      </c>
      <c r="H254" s="4" t="s">
        <v>78</v>
      </c>
      <c r="I254" s="4"/>
      <c r="J254" s="4"/>
      <c r="K254" s="4">
        <v>222</v>
      </c>
      <c r="L254" s="4">
        <v>3</v>
      </c>
      <c r="M254" s="4">
        <v>3</v>
      </c>
      <c r="N254" s="4" t="s">
        <v>3</v>
      </c>
      <c r="O254" s="4">
        <v>2</v>
      </c>
      <c r="P254" s="4"/>
      <c r="Q254" s="4"/>
      <c r="R254" s="4"/>
      <c r="S254" s="4"/>
      <c r="T254" s="4"/>
      <c r="U254" s="4"/>
      <c r="V254" s="4"/>
      <c r="W254" s="4"/>
    </row>
    <row r="255" spans="1:206" x14ac:dyDescent="0.2">
      <c r="A255" s="4">
        <v>50</v>
      </c>
      <c r="B255" s="4">
        <v>0</v>
      </c>
      <c r="C255" s="4">
        <v>0</v>
      </c>
      <c r="D255" s="4">
        <v>1</v>
      </c>
      <c r="E255" s="4">
        <v>225</v>
      </c>
      <c r="F255" s="4">
        <f>ROUND(Source!AV250,O255)</f>
        <v>38369.800000000003</v>
      </c>
      <c r="G255" s="4" t="s">
        <v>79</v>
      </c>
      <c r="H255" s="4" t="s">
        <v>80</v>
      </c>
      <c r="I255" s="4"/>
      <c r="J255" s="4"/>
      <c r="K255" s="4">
        <v>225</v>
      </c>
      <c r="L255" s="4">
        <v>4</v>
      </c>
      <c r="M255" s="4">
        <v>3</v>
      </c>
      <c r="N255" s="4" t="s">
        <v>3</v>
      </c>
      <c r="O255" s="4">
        <v>2</v>
      </c>
      <c r="P255" s="4"/>
      <c r="Q255" s="4"/>
      <c r="R255" s="4"/>
      <c r="S255" s="4"/>
      <c r="T255" s="4"/>
      <c r="U255" s="4"/>
      <c r="V255" s="4"/>
      <c r="W255" s="4"/>
    </row>
    <row r="256" spans="1:206" x14ac:dyDescent="0.2">
      <c r="A256" s="4">
        <v>50</v>
      </c>
      <c r="B256" s="4">
        <v>0</v>
      </c>
      <c r="C256" s="4">
        <v>0</v>
      </c>
      <c r="D256" s="4">
        <v>1</v>
      </c>
      <c r="E256" s="4">
        <v>226</v>
      </c>
      <c r="F256" s="4">
        <f>ROUND(Source!AW250,O256)</f>
        <v>38369.800000000003</v>
      </c>
      <c r="G256" s="4" t="s">
        <v>81</v>
      </c>
      <c r="H256" s="4" t="s">
        <v>82</v>
      </c>
      <c r="I256" s="4"/>
      <c r="J256" s="4"/>
      <c r="K256" s="4">
        <v>226</v>
      </c>
      <c r="L256" s="4">
        <v>5</v>
      </c>
      <c r="M256" s="4">
        <v>3</v>
      </c>
      <c r="N256" s="4" t="s">
        <v>3</v>
      </c>
      <c r="O256" s="4">
        <v>2</v>
      </c>
      <c r="P256" s="4"/>
      <c r="Q256" s="4"/>
      <c r="R256" s="4"/>
      <c r="S256" s="4"/>
      <c r="T256" s="4"/>
      <c r="U256" s="4"/>
      <c r="V256" s="4"/>
      <c r="W256" s="4"/>
    </row>
    <row r="257" spans="1:23" x14ac:dyDescent="0.2">
      <c r="A257" s="4">
        <v>50</v>
      </c>
      <c r="B257" s="4">
        <v>0</v>
      </c>
      <c r="C257" s="4">
        <v>0</v>
      </c>
      <c r="D257" s="4">
        <v>1</v>
      </c>
      <c r="E257" s="4">
        <v>227</v>
      </c>
      <c r="F257" s="4">
        <f>ROUND(Source!AX250,O257)</f>
        <v>0</v>
      </c>
      <c r="G257" s="4" t="s">
        <v>83</v>
      </c>
      <c r="H257" s="4" t="s">
        <v>84</v>
      </c>
      <c r="I257" s="4"/>
      <c r="J257" s="4"/>
      <c r="K257" s="4">
        <v>227</v>
      </c>
      <c r="L257" s="4">
        <v>6</v>
      </c>
      <c r="M257" s="4">
        <v>3</v>
      </c>
      <c r="N257" s="4" t="s">
        <v>3</v>
      </c>
      <c r="O257" s="4">
        <v>2</v>
      </c>
      <c r="P257" s="4"/>
      <c r="Q257" s="4"/>
      <c r="R257" s="4"/>
      <c r="S257" s="4"/>
      <c r="T257" s="4"/>
      <c r="U257" s="4"/>
      <c r="V257" s="4"/>
      <c r="W257" s="4"/>
    </row>
    <row r="258" spans="1:23" x14ac:dyDescent="0.2">
      <c r="A258" s="4">
        <v>50</v>
      </c>
      <c r="B258" s="4">
        <v>0</v>
      </c>
      <c r="C258" s="4">
        <v>0</v>
      </c>
      <c r="D258" s="4">
        <v>1</v>
      </c>
      <c r="E258" s="4">
        <v>228</v>
      </c>
      <c r="F258" s="4">
        <f>ROUND(Source!AY250,O258)</f>
        <v>38369.800000000003</v>
      </c>
      <c r="G258" s="4" t="s">
        <v>85</v>
      </c>
      <c r="H258" s="4" t="s">
        <v>86</v>
      </c>
      <c r="I258" s="4"/>
      <c r="J258" s="4"/>
      <c r="K258" s="4">
        <v>228</v>
      </c>
      <c r="L258" s="4">
        <v>7</v>
      </c>
      <c r="M258" s="4">
        <v>3</v>
      </c>
      <c r="N258" s="4" t="s">
        <v>3</v>
      </c>
      <c r="O258" s="4">
        <v>2</v>
      </c>
      <c r="P258" s="4"/>
      <c r="Q258" s="4"/>
      <c r="R258" s="4"/>
      <c r="S258" s="4"/>
      <c r="T258" s="4"/>
      <c r="U258" s="4"/>
      <c r="V258" s="4"/>
      <c r="W258" s="4"/>
    </row>
    <row r="259" spans="1:23" x14ac:dyDescent="0.2">
      <c r="A259" s="4">
        <v>50</v>
      </c>
      <c r="B259" s="4">
        <v>0</v>
      </c>
      <c r="C259" s="4">
        <v>0</v>
      </c>
      <c r="D259" s="4">
        <v>1</v>
      </c>
      <c r="E259" s="4">
        <v>216</v>
      </c>
      <c r="F259" s="4">
        <f>ROUND(Source!AP250,O259)</f>
        <v>0</v>
      </c>
      <c r="G259" s="4" t="s">
        <v>87</v>
      </c>
      <c r="H259" s="4" t="s">
        <v>88</v>
      </c>
      <c r="I259" s="4"/>
      <c r="J259" s="4"/>
      <c r="K259" s="4">
        <v>216</v>
      </c>
      <c r="L259" s="4">
        <v>8</v>
      </c>
      <c r="M259" s="4">
        <v>3</v>
      </c>
      <c r="N259" s="4" t="s">
        <v>3</v>
      </c>
      <c r="O259" s="4">
        <v>2</v>
      </c>
      <c r="P259" s="4"/>
      <c r="Q259" s="4"/>
      <c r="R259" s="4"/>
      <c r="S259" s="4"/>
      <c r="T259" s="4"/>
      <c r="U259" s="4"/>
      <c r="V259" s="4"/>
      <c r="W259" s="4"/>
    </row>
    <row r="260" spans="1:23" x14ac:dyDescent="0.2">
      <c r="A260" s="4">
        <v>50</v>
      </c>
      <c r="B260" s="4">
        <v>0</v>
      </c>
      <c r="C260" s="4">
        <v>0</v>
      </c>
      <c r="D260" s="4">
        <v>1</v>
      </c>
      <c r="E260" s="4">
        <v>223</v>
      </c>
      <c r="F260" s="4">
        <f>ROUND(Source!AQ250,O260)</f>
        <v>0</v>
      </c>
      <c r="G260" s="4" t="s">
        <v>89</v>
      </c>
      <c r="H260" s="4" t="s">
        <v>90</v>
      </c>
      <c r="I260" s="4"/>
      <c r="J260" s="4"/>
      <c r="K260" s="4">
        <v>223</v>
      </c>
      <c r="L260" s="4">
        <v>9</v>
      </c>
      <c r="M260" s="4">
        <v>3</v>
      </c>
      <c r="N260" s="4" t="s">
        <v>3</v>
      </c>
      <c r="O260" s="4">
        <v>2</v>
      </c>
      <c r="P260" s="4"/>
      <c r="Q260" s="4"/>
      <c r="R260" s="4"/>
      <c r="S260" s="4"/>
      <c r="T260" s="4"/>
      <c r="U260" s="4"/>
      <c r="V260" s="4"/>
      <c r="W260" s="4"/>
    </row>
    <row r="261" spans="1:23" x14ac:dyDescent="0.2">
      <c r="A261" s="4">
        <v>50</v>
      </c>
      <c r="B261" s="4">
        <v>0</v>
      </c>
      <c r="C261" s="4">
        <v>0</v>
      </c>
      <c r="D261" s="4">
        <v>1</v>
      </c>
      <c r="E261" s="4">
        <v>229</v>
      </c>
      <c r="F261" s="4">
        <f>ROUND(Source!AZ250,O261)</f>
        <v>0</v>
      </c>
      <c r="G261" s="4" t="s">
        <v>91</v>
      </c>
      <c r="H261" s="4" t="s">
        <v>92</v>
      </c>
      <c r="I261" s="4"/>
      <c r="J261" s="4"/>
      <c r="K261" s="4">
        <v>229</v>
      </c>
      <c r="L261" s="4">
        <v>10</v>
      </c>
      <c r="M261" s="4">
        <v>3</v>
      </c>
      <c r="N261" s="4" t="s">
        <v>3</v>
      </c>
      <c r="O261" s="4">
        <v>2</v>
      </c>
      <c r="P261" s="4"/>
      <c r="Q261" s="4"/>
      <c r="R261" s="4"/>
      <c r="S261" s="4"/>
      <c r="T261" s="4"/>
      <c r="U261" s="4"/>
      <c r="V261" s="4"/>
      <c r="W261" s="4"/>
    </row>
    <row r="262" spans="1:23" x14ac:dyDescent="0.2">
      <c r="A262" s="4">
        <v>50</v>
      </c>
      <c r="B262" s="4">
        <v>0</v>
      </c>
      <c r="C262" s="4">
        <v>0</v>
      </c>
      <c r="D262" s="4">
        <v>1</v>
      </c>
      <c r="E262" s="4">
        <v>203</v>
      </c>
      <c r="F262" s="4">
        <f>ROUND(Source!Q250,O262)</f>
        <v>10434.129999999999</v>
      </c>
      <c r="G262" s="4" t="s">
        <v>93</v>
      </c>
      <c r="H262" s="4" t="s">
        <v>94</v>
      </c>
      <c r="I262" s="4"/>
      <c r="J262" s="4"/>
      <c r="K262" s="4">
        <v>203</v>
      </c>
      <c r="L262" s="4">
        <v>11</v>
      </c>
      <c r="M262" s="4">
        <v>3</v>
      </c>
      <c r="N262" s="4" t="s">
        <v>3</v>
      </c>
      <c r="O262" s="4">
        <v>2</v>
      </c>
      <c r="P262" s="4"/>
      <c r="Q262" s="4"/>
      <c r="R262" s="4"/>
      <c r="S262" s="4"/>
      <c r="T262" s="4"/>
      <c r="U262" s="4"/>
      <c r="V262" s="4"/>
      <c r="W262" s="4"/>
    </row>
    <row r="263" spans="1:23" x14ac:dyDescent="0.2">
      <c r="A263" s="4">
        <v>50</v>
      </c>
      <c r="B263" s="4">
        <v>0</v>
      </c>
      <c r="C263" s="4">
        <v>0</v>
      </c>
      <c r="D263" s="4">
        <v>1</v>
      </c>
      <c r="E263" s="4">
        <v>231</v>
      </c>
      <c r="F263" s="4">
        <f>ROUND(Source!BB250,O263)</f>
        <v>0</v>
      </c>
      <c r="G263" s="4" t="s">
        <v>95</v>
      </c>
      <c r="H263" s="4" t="s">
        <v>96</v>
      </c>
      <c r="I263" s="4"/>
      <c r="J263" s="4"/>
      <c r="K263" s="4">
        <v>231</v>
      </c>
      <c r="L263" s="4">
        <v>12</v>
      </c>
      <c r="M263" s="4">
        <v>3</v>
      </c>
      <c r="N263" s="4" t="s">
        <v>3</v>
      </c>
      <c r="O263" s="4">
        <v>2</v>
      </c>
      <c r="P263" s="4"/>
      <c r="Q263" s="4"/>
      <c r="R263" s="4"/>
      <c r="S263" s="4"/>
      <c r="T263" s="4"/>
      <c r="U263" s="4"/>
      <c r="V263" s="4"/>
      <c r="W263" s="4"/>
    </row>
    <row r="264" spans="1:23" x14ac:dyDescent="0.2">
      <c r="A264" s="4">
        <v>50</v>
      </c>
      <c r="B264" s="4">
        <v>0</v>
      </c>
      <c r="C264" s="4">
        <v>0</v>
      </c>
      <c r="D264" s="4">
        <v>1</v>
      </c>
      <c r="E264" s="4">
        <v>204</v>
      </c>
      <c r="F264" s="4">
        <f>ROUND(Source!R250,O264)</f>
        <v>7231.06</v>
      </c>
      <c r="G264" s="4" t="s">
        <v>97</v>
      </c>
      <c r="H264" s="4" t="s">
        <v>98</v>
      </c>
      <c r="I264" s="4"/>
      <c r="J264" s="4"/>
      <c r="K264" s="4">
        <v>204</v>
      </c>
      <c r="L264" s="4">
        <v>13</v>
      </c>
      <c r="M264" s="4">
        <v>3</v>
      </c>
      <c r="N264" s="4" t="s">
        <v>3</v>
      </c>
      <c r="O264" s="4">
        <v>2</v>
      </c>
      <c r="P264" s="4"/>
      <c r="Q264" s="4"/>
      <c r="R264" s="4"/>
      <c r="S264" s="4"/>
      <c r="T264" s="4"/>
      <c r="U264" s="4"/>
      <c r="V264" s="4"/>
      <c r="W264" s="4"/>
    </row>
    <row r="265" spans="1:23" x14ac:dyDescent="0.2">
      <c r="A265" s="4">
        <v>50</v>
      </c>
      <c r="B265" s="4">
        <v>0</v>
      </c>
      <c r="C265" s="4">
        <v>0</v>
      </c>
      <c r="D265" s="4">
        <v>1</v>
      </c>
      <c r="E265" s="4">
        <v>205</v>
      </c>
      <c r="F265" s="4">
        <f>ROUND(Source!S250,O265)</f>
        <v>34982.79</v>
      </c>
      <c r="G265" s="4" t="s">
        <v>99</v>
      </c>
      <c r="H265" s="4" t="s">
        <v>100</v>
      </c>
      <c r="I265" s="4"/>
      <c r="J265" s="4"/>
      <c r="K265" s="4">
        <v>205</v>
      </c>
      <c r="L265" s="4">
        <v>14</v>
      </c>
      <c r="M265" s="4">
        <v>3</v>
      </c>
      <c r="N265" s="4" t="s">
        <v>3</v>
      </c>
      <c r="O265" s="4">
        <v>2</v>
      </c>
      <c r="P265" s="4"/>
      <c r="Q265" s="4"/>
      <c r="R265" s="4"/>
      <c r="S265" s="4"/>
      <c r="T265" s="4"/>
      <c r="U265" s="4"/>
      <c r="V265" s="4"/>
      <c r="W265" s="4"/>
    </row>
    <row r="266" spans="1:23" x14ac:dyDescent="0.2">
      <c r="A266" s="4">
        <v>50</v>
      </c>
      <c r="B266" s="4">
        <v>0</v>
      </c>
      <c r="C266" s="4">
        <v>0</v>
      </c>
      <c r="D266" s="4">
        <v>1</v>
      </c>
      <c r="E266" s="4">
        <v>232</v>
      </c>
      <c r="F266" s="4">
        <f>ROUND(Source!BC250,O266)</f>
        <v>0</v>
      </c>
      <c r="G266" s="4" t="s">
        <v>101</v>
      </c>
      <c r="H266" s="4" t="s">
        <v>102</v>
      </c>
      <c r="I266" s="4"/>
      <c r="J266" s="4"/>
      <c r="K266" s="4">
        <v>232</v>
      </c>
      <c r="L266" s="4">
        <v>15</v>
      </c>
      <c r="M266" s="4">
        <v>3</v>
      </c>
      <c r="N266" s="4" t="s">
        <v>3</v>
      </c>
      <c r="O266" s="4">
        <v>2</v>
      </c>
      <c r="P266" s="4"/>
      <c r="Q266" s="4"/>
      <c r="R266" s="4"/>
      <c r="S266" s="4"/>
      <c r="T266" s="4"/>
      <c r="U266" s="4"/>
      <c r="V266" s="4"/>
      <c r="W266" s="4"/>
    </row>
    <row r="267" spans="1:23" x14ac:dyDescent="0.2">
      <c r="A267" s="4">
        <v>50</v>
      </c>
      <c r="B267" s="4">
        <v>0</v>
      </c>
      <c r="C267" s="4">
        <v>0</v>
      </c>
      <c r="D267" s="4">
        <v>1</v>
      </c>
      <c r="E267" s="4">
        <v>214</v>
      </c>
      <c r="F267" s="4">
        <f>ROUND(Source!AS250,O267)</f>
        <v>67157.440000000002</v>
      </c>
      <c r="G267" s="4" t="s">
        <v>103</v>
      </c>
      <c r="H267" s="4" t="s">
        <v>104</v>
      </c>
      <c r="I267" s="4"/>
      <c r="J267" s="4"/>
      <c r="K267" s="4">
        <v>214</v>
      </c>
      <c r="L267" s="4">
        <v>16</v>
      </c>
      <c r="M267" s="4">
        <v>3</v>
      </c>
      <c r="N267" s="4" t="s">
        <v>3</v>
      </c>
      <c r="O267" s="4">
        <v>2</v>
      </c>
      <c r="P267" s="4"/>
      <c r="Q267" s="4"/>
      <c r="R267" s="4"/>
      <c r="S267" s="4"/>
      <c r="T267" s="4"/>
      <c r="U267" s="4"/>
      <c r="V267" s="4"/>
      <c r="W267" s="4"/>
    </row>
    <row r="268" spans="1:23" x14ac:dyDescent="0.2">
      <c r="A268" s="4">
        <v>50</v>
      </c>
      <c r="B268" s="4">
        <v>0</v>
      </c>
      <c r="C268" s="4">
        <v>0</v>
      </c>
      <c r="D268" s="4">
        <v>1</v>
      </c>
      <c r="E268" s="4">
        <v>215</v>
      </c>
      <c r="F268" s="4">
        <f>ROUND(Source!AT250,O268)</f>
        <v>62436.91</v>
      </c>
      <c r="G268" s="4" t="s">
        <v>105</v>
      </c>
      <c r="H268" s="4" t="s">
        <v>106</v>
      </c>
      <c r="I268" s="4"/>
      <c r="J268" s="4"/>
      <c r="K268" s="4">
        <v>215</v>
      </c>
      <c r="L268" s="4">
        <v>17</v>
      </c>
      <c r="M268" s="4">
        <v>3</v>
      </c>
      <c r="N268" s="4" t="s">
        <v>3</v>
      </c>
      <c r="O268" s="4">
        <v>2</v>
      </c>
      <c r="P268" s="4"/>
      <c r="Q268" s="4"/>
      <c r="R268" s="4"/>
      <c r="S268" s="4"/>
      <c r="T268" s="4"/>
      <c r="U268" s="4"/>
      <c r="V268" s="4"/>
      <c r="W268" s="4"/>
    </row>
    <row r="269" spans="1:23" x14ac:dyDescent="0.2">
      <c r="A269" s="4">
        <v>50</v>
      </c>
      <c r="B269" s="4">
        <v>0</v>
      </c>
      <c r="C269" s="4">
        <v>0</v>
      </c>
      <c r="D269" s="4">
        <v>1</v>
      </c>
      <c r="E269" s="4">
        <v>217</v>
      </c>
      <c r="F269" s="4">
        <f>ROUND(Source!AU250,O269)</f>
        <v>5942.67</v>
      </c>
      <c r="G269" s="4" t="s">
        <v>107</v>
      </c>
      <c r="H269" s="4" t="s">
        <v>108</v>
      </c>
      <c r="I269" s="4"/>
      <c r="J269" s="4"/>
      <c r="K269" s="4">
        <v>217</v>
      </c>
      <c r="L269" s="4">
        <v>18</v>
      </c>
      <c r="M269" s="4">
        <v>3</v>
      </c>
      <c r="N269" s="4" t="s">
        <v>3</v>
      </c>
      <c r="O269" s="4">
        <v>2</v>
      </c>
      <c r="P269" s="4"/>
      <c r="Q269" s="4"/>
      <c r="R269" s="4"/>
      <c r="S269" s="4"/>
      <c r="T269" s="4"/>
      <c r="U269" s="4"/>
      <c r="V269" s="4"/>
      <c r="W269" s="4"/>
    </row>
    <row r="270" spans="1:23" x14ac:dyDescent="0.2">
      <c r="A270" s="4">
        <v>50</v>
      </c>
      <c r="B270" s="4">
        <v>0</v>
      </c>
      <c r="C270" s="4">
        <v>0</v>
      </c>
      <c r="D270" s="4">
        <v>1</v>
      </c>
      <c r="E270" s="4">
        <v>230</v>
      </c>
      <c r="F270" s="4">
        <f>ROUND(Source!BA250,O270)</f>
        <v>0</v>
      </c>
      <c r="G270" s="4" t="s">
        <v>109</v>
      </c>
      <c r="H270" s="4" t="s">
        <v>110</v>
      </c>
      <c r="I270" s="4"/>
      <c r="J270" s="4"/>
      <c r="K270" s="4">
        <v>230</v>
      </c>
      <c r="L270" s="4">
        <v>19</v>
      </c>
      <c r="M270" s="4">
        <v>3</v>
      </c>
      <c r="N270" s="4" t="s">
        <v>3</v>
      </c>
      <c r="O270" s="4">
        <v>2</v>
      </c>
      <c r="P270" s="4"/>
      <c r="Q270" s="4"/>
      <c r="R270" s="4"/>
      <c r="S270" s="4"/>
      <c r="T270" s="4"/>
      <c r="U270" s="4"/>
      <c r="V270" s="4"/>
      <c r="W270" s="4"/>
    </row>
    <row r="271" spans="1:23" x14ac:dyDescent="0.2">
      <c r="A271" s="4">
        <v>50</v>
      </c>
      <c r="B271" s="4">
        <v>0</v>
      </c>
      <c r="C271" s="4">
        <v>0</v>
      </c>
      <c r="D271" s="4">
        <v>1</v>
      </c>
      <c r="E271" s="4">
        <v>206</v>
      </c>
      <c r="F271" s="4">
        <f>ROUND(Source!T250,O271)</f>
        <v>0</v>
      </c>
      <c r="G271" s="4" t="s">
        <v>111</v>
      </c>
      <c r="H271" s="4" t="s">
        <v>112</v>
      </c>
      <c r="I271" s="4"/>
      <c r="J271" s="4"/>
      <c r="K271" s="4">
        <v>206</v>
      </c>
      <c r="L271" s="4">
        <v>20</v>
      </c>
      <c r="M271" s="4">
        <v>3</v>
      </c>
      <c r="N271" s="4" t="s">
        <v>3</v>
      </c>
      <c r="O271" s="4">
        <v>2</v>
      </c>
      <c r="P271" s="4"/>
      <c r="Q271" s="4"/>
      <c r="R271" s="4"/>
      <c r="S271" s="4"/>
      <c r="T271" s="4"/>
      <c r="U271" s="4"/>
      <c r="V271" s="4"/>
      <c r="W271" s="4"/>
    </row>
    <row r="272" spans="1:23" x14ac:dyDescent="0.2">
      <c r="A272" s="4">
        <v>50</v>
      </c>
      <c r="B272" s="4">
        <v>0</v>
      </c>
      <c r="C272" s="4">
        <v>0</v>
      </c>
      <c r="D272" s="4">
        <v>1</v>
      </c>
      <c r="E272" s="4">
        <v>207</v>
      </c>
      <c r="F272" s="4">
        <f>Source!U250</f>
        <v>126.47149428</v>
      </c>
      <c r="G272" s="4" t="s">
        <v>113</v>
      </c>
      <c r="H272" s="4" t="s">
        <v>114</v>
      </c>
      <c r="I272" s="4"/>
      <c r="J272" s="4"/>
      <c r="K272" s="4">
        <v>207</v>
      </c>
      <c r="L272" s="4">
        <v>21</v>
      </c>
      <c r="M272" s="4">
        <v>3</v>
      </c>
      <c r="N272" s="4" t="s">
        <v>3</v>
      </c>
      <c r="O272" s="4">
        <v>-1</v>
      </c>
      <c r="P272" s="4"/>
      <c r="Q272" s="4"/>
      <c r="R272" s="4"/>
      <c r="S272" s="4"/>
      <c r="T272" s="4"/>
      <c r="U272" s="4"/>
      <c r="V272" s="4"/>
      <c r="W272" s="4"/>
    </row>
    <row r="273" spans="1:40" x14ac:dyDescent="0.2">
      <c r="A273" s="4">
        <v>50</v>
      </c>
      <c r="B273" s="4">
        <v>0</v>
      </c>
      <c r="C273" s="4">
        <v>0</v>
      </c>
      <c r="D273" s="4">
        <v>1</v>
      </c>
      <c r="E273" s="4">
        <v>208</v>
      </c>
      <c r="F273" s="4">
        <f>Source!V250</f>
        <v>0</v>
      </c>
      <c r="G273" s="4" t="s">
        <v>115</v>
      </c>
      <c r="H273" s="4" t="s">
        <v>116</v>
      </c>
      <c r="I273" s="4"/>
      <c r="J273" s="4"/>
      <c r="K273" s="4">
        <v>208</v>
      </c>
      <c r="L273" s="4">
        <v>22</v>
      </c>
      <c r="M273" s="4">
        <v>3</v>
      </c>
      <c r="N273" s="4" t="s">
        <v>3</v>
      </c>
      <c r="O273" s="4">
        <v>-1</v>
      </c>
      <c r="P273" s="4"/>
      <c r="Q273" s="4"/>
      <c r="R273" s="4"/>
      <c r="S273" s="4"/>
      <c r="T273" s="4"/>
      <c r="U273" s="4"/>
      <c r="V273" s="4"/>
      <c r="W273" s="4"/>
    </row>
    <row r="274" spans="1:40" x14ac:dyDescent="0.2">
      <c r="A274" s="4">
        <v>50</v>
      </c>
      <c r="B274" s="4">
        <v>0</v>
      </c>
      <c r="C274" s="4">
        <v>0</v>
      </c>
      <c r="D274" s="4">
        <v>1</v>
      </c>
      <c r="E274" s="4">
        <v>209</v>
      </c>
      <c r="F274" s="4">
        <f>ROUND(Source!W250,O274)</f>
        <v>0</v>
      </c>
      <c r="G274" s="4" t="s">
        <v>117</v>
      </c>
      <c r="H274" s="4" t="s">
        <v>118</v>
      </c>
      <c r="I274" s="4"/>
      <c r="J274" s="4"/>
      <c r="K274" s="4">
        <v>209</v>
      </c>
      <c r="L274" s="4">
        <v>23</v>
      </c>
      <c r="M274" s="4">
        <v>3</v>
      </c>
      <c r="N274" s="4" t="s">
        <v>3</v>
      </c>
      <c r="O274" s="4">
        <v>2</v>
      </c>
      <c r="P274" s="4"/>
      <c r="Q274" s="4"/>
      <c r="R274" s="4"/>
      <c r="S274" s="4"/>
      <c r="T274" s="4"/>
      <c r="U274" s="4"/>
      <c r="V274" s="4"/>
      <c r="W274" s="4"/>
    </row>
    <row r="275" spans="1:40" x14ac:dyDescent="0.2">
      <c r="A275" s="4">
        <v>50</v>
      </c>
      <c r="B275" s="4">
        <v>0</v>
      </c>
      <c r="C275" s="4">
        <v>0</v>
      </c>
      <c r="D275" s="4">
        <v>1</v>
      </c>
      <c r="E275" s="4">
        <v>233</v>
      </c>
      <c r="F275" s="4">
        <f>ROUND(Source!BD250,O275)</f>
        <v>0</v>
      </c>
      <c r="G275" s="4" t="s">
        <v>119</v>
      </c>
      <c r="H275" s="4" t="s">
        <v>120</v>
      </c>
      <c r="I275" s="4"/>
      <c r="J275" s="4"/>
      <c r="K275" s="4">
        <v>233</v>
      </c>
      <c r="L275" s="4">
        <v>24</v>
      </c>
      <c r="M275" s="4">
        <v>3</v>
      </c>
      <c r="N275" s="4" t="s">
        <v>3</v>
      </c>
      <c r="O275" s="4">
        <v>2</v>
      </c>
      <c r="P275" s="4"/>
      <c r="Q275" s="4"/>
      <c r="R275" s="4"/>
      <c r="S275" s="4"/>
      <c r="T275" s="4"/>
      <c r="U275" s="4"/>
      <c r="V275" s="4"/>
      <c r="W275" s="4"/>
    </row>
    <row r="276" spans="1:40" x14ac:dyDescent="0.2">
      <c r="A276" s="4">
        <v>50</v>
      </c>
      <c r="B276" s="4">
        <v>0</v>
      </c>
      <c r="C276" s="4">
        <v>0</v>
      </c>
      <c r="D276" s="4">
        <v>1</v>
      </c>
      <c r="E276" s="4">
        <v>210</v>
      </c>
      <c r="F276" s="4">
        <f>ROUND(Source!X250,O276)</f>
        <v>25975.64</v>
      </c>
      <c r="G276" s="4" t="s">
        <v>121</v>
      </c>
      <c r="H276" s="4" t="s">
        <v>122</v>
      </c>
      <c r="I276" s="4"/>
      <c r="J276" s="4"/>
      <c r="K276" s="4">
        <v>210</v>
      </c>
      <c r="L276" s="4">
        <v>25</v>
      </c>
      <c r="M276" s="4">
        <v>3</v>
      </c>
      <c r="N276" s="4" t="s">
        <v>3</v>
      </c>
      <c r="O276" s="4">
        <v>2</v>
      </c>
      <c r="P276" s="4"/>
      <c r="Q276" s="4"/>
      <c r="R276" s="4"/>
      <c r="S276" s="4"/>
      <c r="T276" s="4"/>
      <c r="U276" s="4"/>
      <c r="V276" s="4"/>
      <c r="W276" s="4"/>
    </row>
    <row r="277" spans="1:40" x14ac:dyDescent="0.2">
      <c r="A277" s="4">
        <v>50</v>
      </c>
      <c r="B277" s="4">
        <v>0</v>
      </c>
      <c r="C277" s="4">
        <v>0</v>
      </c>
      <c r="D277" s="4">
        <v>1</v>
      </c>
      <c r="E277" s="4">
        <v>211</v>
      </c>
      <c r="F277" s="4">
        <f>ROUND(Source!Y250,O277)</f>
        <v>14421.88</v>
      </c>
      <c r="G277" s="4" t="s">
        <v>123</v>
      </c>
      <c r="H277" s="4" t="s">
        <v>124</v>
      </c>
      <c r="I277" s="4"/>
      <c r="J277" s="4"/>
      <c r="K277" s="4">
        <v>211</v>
      </c>
      <c r="L277" s="4">
        <v>26</v>
      </c>
      <c r="M277" s="4">
        <v>3</v>
      </c>
      <c r="N277" s="4" t="s">
        <v>3</v>
      </c>
      <c r="O277" s="4">
        <v>2</v>
      </c>
      <c r="P277" s="4"/>
      <c r="Q277" s="4"/>
      <c r="R277" s="4"/>
      <c r="S277" s="4"/>
      <c r="T277" s="4"/>
      <c r="U277" s="4"/>
      <c r="V277" s="4"/>
      <c r="W277" s="4"/>
    </row>
    <row r="278" spans="1:40" x14ac:dyDescent="0.2">
      <c r="A278" s="4">
        <v>50</v>
      </c>
      <c r="B278" s="4">
        <v>0</v>
      </c>
      <c r="C278" s="4">
        <v>0</v>
      </c>
      <c r="D278" s="4">
        <v>1</v>
      </c>
      <c r="E278" s="4">
        <v>224</v>
      </c>
      <c r="F278" s="4">
        <f>ROUND(Source!AR250,O278)</f>
        <v>135537.01999999999</v>
      </c>
      <c r="G278" s="4" t="s">
        <v>125</v>
      </c>
      <c r="H278" s="4" t="s">
        <v>126</v>
      </c>
      <c r="I278" s="4"/>
      <c r="J278" s="4"/>
      <c r="K278" s="4">
        <v>224</v>
      </c>
      <c r="L278" s="4">
        <v>27</v>
      </c>
      <c r="M278" s="4">
        <v>3</v>
      </c>
      <c r="N278" s="4" t="s">
        <v>3</v>
      </c>
      <c r="O278" s="4">
        <v>2</v>
      </c>
      <c r="P278" s="4"/>
      <c r="Q278" s="4"/>
      <c r="R278" s="4"/>
      <c r="S278" s="4"/>
      <c r="T278" s="4"/>
      <c r="U278" s="4"/>
      <c r="V278" s="4"/>
      <c r="W278" s="4"/>
    </row>
    <row r="279" spans="1:40" x14ac:dyDescent="0.2">
      <c r="A279" s="4">
        <v>50</v>
      </c>
      <c r="B279" s="4">
        <v>1</v>
      </c>
      <c r="C279" s="4">
        <v>0</v>
      </c>
      <c r="D279" s="4">
        <v>2</v>
      </c>
      <c r="E279" s="4">
        <v>0</v>
      </c>
      <c r="F279" s="4">
        <f>ROUND(F278,O279)</f>
        <v>135537.01999999999</v>
      </c>
      <c r="G279" s="4" t="s">
        <v>208</v>
      </c>
      <c r="H279" s="4" t="s">
        <v>208</v>
      </c>
      <c r="I279" s="4"/>
      <c r="J279" s="4"/>
      <c r="K279" s="4">
        <v>212</v>
      </c>
      <c r="L279" s="4">
        <v>28</v>
      </c>
      <c r="M279" s="4">
        <v>0</v>
      </c>
      <c r="N279" s="4" t="s">
        <v>3</v>
      </c>
      <c r="O279" s="4">
        <v>2</v>
      </c>
      <c r="P279" s="4"/>
      <c r="Q279" s="4"/>
      <c r="R279" s="4"/>
      <c r="S279" s="4"/>
      <c r="T279" s="4"/>
      <c r="U279" s="4"/>
      <c r="V279" s="4"/>
      <c r="W279" s="4"/>
    </row>
    <row r="280" spans="1:40" x14ac:dyDescent="0.2">
      <c r="A280" s="4">
        <v>50</v>
      </c>
      <c r="B280" s="4">
        <v>1</v>
      </c>
      <c r="C280" s="4">
        <v>0</v>
      </c>
      <c r="D280" s="4">
        <v>2</v>
      </c>
      <c r="E280" s="4">
        <v>0</v>
      </c>
      <c r="F280" s="4">
        <f>ROUND(F279*0.2,O280)</f>
        <v>27107.4</v>
      </c>
      <c r="G280" s="4" t="s">
        <v>209</v>
      </c>
      <c r="H280" s="4" t="s">
        <v>210</v>
      </c>
      <c r="I280" s="4"/>
      <c r="J280" s="4"/>
      <c r="K280" s="4">
        <v>212</v>
      </c>
      <c r="L280" s="4">
        <v>29</v>
      </c>
      <c r="M280" s="4">
        <v>0</v>
      </c>
      <c r="N280" s="4" t="s">
        <v>3</v>
      </c>
      <c r="O280" s="4">
        <v>2</v>
      </c>
      <c r="P280" s="4"/>
      <c r="Q280" s="4"/>
      <c r="R280" s="4"/>
      <c r="S280" s="4"/>
      <c r="T280" s="4"/>
      <c r="U280" s="4"/>
      <c r="V280" s="4"/>
      <c r="W280" s="4"/>
    </row>
    <row r="281" spans="1:40" x14ac:dyDescent="0.2">
      <c r="A281" s="4">
        <v>50</v>
      </c>
      <c r="B281" s="4">
        <v>1</v>
      </c>
      <c r="C281" s="4">
        <v>0</v>
      </c>
      <c r="D281" s="4">
        <v>2</v>
      </c>
      <c r="E281" s="4">
        <v>213</v>
      </c>
      <c r="F281" s="4">
        <f>ROUND(ROUND(F279+F280,2),O281)</f>
        <v>162644.42000000001</v>
      </c>
      <c r="G281" s="4" t="s">
        <v>211</v>
      </c>
      <c r="H281" s="4" t="s">
        <v>211</v>
      </c>
      <c r="I281" s="4"/>
      <c r="J281" s="4"/>
      <c r="K281" s="4">
        <v>212</v>
      </c>
      <c r="L281" s="4">
        <v>30</v>
      </c>
      <c r="M281" s="4">
        <v>0</v>
      </c>
      <c r="N281" s="4" t="s">
        <v>3</v>
      </c>
      <c r="O281" s="4">
        <v>2</v>
      </c>
      <c r="P281" s="4"/>
      <c r="Q281" s="4"/>
      <c r="R281" s="4"/>
      <c r="S281" s="4"/>
      <c r="T281" s="4"/>
      <c r="U281" s="4"/>
      <c r="V281" s="4"/>
      <c r="W281" s="4"/>
    </row>
    <row r="284" spans="1:40" x14ac:dyDescent="0.2">
      <c r="A284">
        <v>-1</v>
      </c>
    </row>
    <row r="286" spans="1:40" x14ac:dyDescent="0.2">
      <c r="A286" s="3">
        <v>75</v>
      </c>
      <c r="B286" s="3" t="s">
        <v>212</v>
      </c>
      <c r="C286" s="3">
        <v>2020</v>
      </c>
      <c r="D286" s="3">
        <v>0</v>
      </c>
      <c r="E286" s="3">
        <v>12</v>
      </c>
      <c r="F286" s="3"/>
      <c r="G286" s="3">
        <v>0</v>
      </c>
      <c r="H286" s="3">
        <v>2</v>
      </c>
      <c r="I286" s="3">
        <v>1</v>
      </c>
      <c r="J286" s="3">
        <v>1</v>
      </c>
      <c r="K286" s="3">
        <v>93</v>
      </c>
      <c r="L286" s="3">
        <v>64</v>
      </c>
      <c r="M286" s="3">
        <v>0</v>
      </c>
      <c r="N286" s="3">
        <v>23689695</v>
      </c>
      <c r="O286" s="3">
        <v>1</v>
      </c>
    </row>
    <row r="287" spans="1:40" x14ac:dyDescent="0.2">
      <c r="A287" s="5">
        <v>1</v>
      </c>
      <c r="B287" s="5" t="s">
        <v>213</v>
      </c>
      <c r="C287" s="5" t="s">
        <v>214</v>
      </c>
      <c r="D287" s="5">
        <v>2020</v>
      </c>
      <c r="E287" s="5">
        <v>12</v>
      </c>
      <c r="F287" s="5">
        <v>1</v>
      </c>
      <c r="G287" s="5">
        <v>1</v>
      </c>
      <c r="H287" s="5">
        <v>0</v>
      </c>
      <c r="I287" s="5">
        <v>2</v>
      </c>
      <c r="J287" s="5">
        <v>1</v>
      </c>
      <c r="K287" s="5">
        <v>1</v>
      </c>
      <c r="L287" s="5">
        <v>1</v>
      </c>
      <c r="M287" s="5">
        <v>1</v>
      </c>
      <c r="N287" s="5">
        <v>1</v>
      </c>
      <c r="O287" s="5">
        <v>1</v>
      </c>
      <c r="P287" s="5">
        <v>1</v>
      </c>
      <c r="Q287" s="5">
        <v>1</v>
      </c>
      <c r="R287" s="5" t="s">
        <v>3</v>
      </c>
      <c r="S287" s="5" t="s">
        <v>3</v>
      </c>
      <c r="T287" s="5" t="s">
        <v>3</v>
      </c>
      <c r="U287" s="5" t="s">
        <v>3</v>
      </c>
      <c r="V287" s="5" t="s">
        <v>3</v>
      </c>
      <c r="W287" s="5" t="s">
        <v>3</v>
      </c>
      <c r="X287" s="5" t="s">
        <v>3</v>
      </c>
      <c r="Y287" s="5" t="s">
        <v>3</v>
      </c>
      <c r="Z287" s="5" t="s">
        <v>3</v>
      </c>
      <c r="AA287" s="5" t="s">
        <v>215</v>
      </c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>
        <v>23689696</v>
      </c>
    </row>
    <row r="291" spans="1:5" x14ac:dyDescent="0.2">
      <c r="A291">
        <v>65</v>
      </c>
      <c r="C291">
        <v>1</v>
      </c>
      <c r="D291">
        <v>0</v>
      </c>
      <c r="E291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5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216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20546</v>
      </c>
      <c r="M1">
        <v>10</v>
      </c>
      <c r="N1">
        <v>11</v>
      </c>
      <c r="O1">
        <v>3</v>
      </c>
      <c r="P1">
        <v>0</v>
      </c>
      <c r="Q1">
        <v>0</v>
      </c>
    </row>
    <row r="12" spans="1:133" x14ac:dyDescent="0.2">
      <c r="A12" s="1">
        <v>1</v>
      </c>
      <c r="B12" s="1">
        <v>54</v>
      </c>
      <c r="C12" s="1">
        <v>0</v>
      </c>
      <c r="D12" s="1"/>
      <c r="E12" s="1">
        <v>0</v>
      </c>
      <c r="F12" s="1" t="s">
        <v>4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2</v>
      </c>
      <c r="N12" s="1"/>
      <c r="O12" s="1">
        <v>0</v>
      </c>
      <c r="P12" s="1">
        <v>0</v>
      </c>
      <c r="Q12" s="1">
        <v>2</v>
      </c>
      <c r="R12" s="1">
        <v>157</v>
      </c>
      <c r="S12" s="1"/>
      <c r="T12" s="1">
        <v>1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9</v>
      </c>
      <c r="AG12" s="1" t="s">
        <v>10</v>
      </c>
      <c r="AH12" s="1" t="s">
        <v>9</v>
      </c>
      <c r="AI12" s="1" t="s">
        <v>10</v>
      </c>
      <c r="AJ12" s="1" t="s">
        <v>11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12</v>
      </c>
      <c r="AY12" s="1" t="s">
        <v>3</v>
      </c>
      <c r="AZ12" s="1" t="s">
        <v>3</v>
      </c>
      <c r="BA12" s="1"/>
      <c r="BB12" s="1">
        <v>0</v>
      </c>
      <c r="BC12" s="1"/>
      <c r="BD12" s="1"/>
      <c r="BE12" s="1"/>
      <c r="BF12" s="1"/>
      <c r="BG12" s="1"/>
      <c r="BH12" s="1" t="s">
        <v>13</v>
      </c>
      <c r="BI12" s="1" t="s">
        <v>14</v>
      </c>
      <c r="BJ12" s="1">
        <v>1</v>
      </c>
      <c r="BK12" s="1">
        <v>1</v>
      </c>
      <c r="BL12" s="1">
        <v>0</v>
      </c>
      <c r="BM12" s="1">
        <v>1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15</v>
      </c>
      <c r="BZ12" s="1" t="s">
        <v>16</v>
      </c>
      <c r="CA12" s="1" t="s">
        <v>17</v>
      </c>
      <c r="CB12" s="1" t="s">
        <v>17</v>
      </c>
      <c r="CC12" s="1" t="s">
        <v>17</v>
      </c>
      <c r="CD12" s="1" t="s">
        <v>17</v>
      </c>
      <c r="CE12" s="1" t="s">
        <v>18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>
        <v>57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23689695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6">
        <v>3</v>
      </c>
      <c r="B16" s="6">
        <v>1</v>
      </c>
      <c r="C16" s="6" t="s">
        <v>19</v>
      </c>
      <c r="D16" s="6" t="s">
        <v>20</v>
      </c>
      <c r="E16" s="7">
        <f>(Source!F237)/1000</f>
        <v>67.157440000000008</v>
      </c>
      <c r="F16" s="7">
        <f>(Source!F238)/1000</f>
        <v>62.436910000000005</v>
      </c>
      <c r="G16" s="7">
        <f>(Source!F229)/1000</f>
        <v>0</v>
      </c>
      <c r="H16" s="7">
        <f>(Source!F239)/1000+(Source!F240)/1000</f>
        <v>5.9426699999999997</v>
      </c>
      <c r="I16" s="7">
        <f>E16+F16+G16+H16</f>
        <v>135.53702000000001</v>
      </c>
      <c r="J16" s="7">
        <f>(Source!F235)/1000</f>
        <v>34.982790000000001</v>
      </c>
      <c r="AI16" s="6">
        <v>0</v>
      </c>
      <c r="AJ16" s="6">
        <v>-1</v>
      </c>
      <c r="AK16" s="6" t="s">
        <v>3</v>
      </c>
      <c r="AL16" s="6" t="s">
        <v>3</v>
      </c>
      <c r="AM16" s="6" t="s">
        <v>3</v>
      </c>
      <c r="AN16" s="6">
        <v>0</v>
      </c>
      <c r="AO16" s="6" t="s">
        <v>3</v>
      </c>
      <c r="AP16" s="6" t="s">
        <v>3</v>
      </c>
      <c r="AT16" s="7">
        <v>83786.720000000001</v>
      </c>
      <c r="AU16" s="7">
        <v>38369.800000000003</v>
      </c>
      <c r="AV16" s="7">
        <v>0</v>
      </c>
      <c r="AW16" s="7">
        <v>0</v>
      </c>
      <c r="AX16" s="7">
        <v>0</v>
      </c>
      <c r="AY16" s="7">
        <v>10434.129999999999</v>
      </c>
      <c r="AZ16" s="7">
        <v>7231.06</v>
      </c>
      <c r="BA16" s="7">
        <v>34982.79</v>
      </c>
      <c r="BB16" s="7">
        <v>67157.440000000002</v>
      </c>
      <c r="BC16" s="7">
        <v>62436.91</v>
      </c>
      <c r="BD16" s="7">
        <v>5942.67</v>
      </c>
      <c r="BE16" s="7">
        <v>0</v>
      </c>
      <c r="BF16" s="7">
        <v>126.47149428</v>
      </c>
      <c r="BG16" s="7">
        <v>0</v>
      </c>
      <c r="BH16" s="7">
        <v>0</v>
      </c>
      <c r="BI16" s="7">
        <v>25975.64</v>
      </c>
      <c r="BJ16" s="7">
        <v>14421.88</v>
      </c>
      <c r="BK16" s="7">
        <v>135537.01999999999</v>
      </c>
    </row>
    <row r="18" spans="1:19" x14ac:dyDescent="0.2">
      <c r="A18">
        <v>51</v>
      </c>
      <c r="E18" s="8">
        <f>SUMIF(A16:A17,3,E16:E17)</f>
        <v>67.157440000000008</v>
      </c>
      <c r="F18" s="8">
        <f>SUMIF(A16:A17,3,F16:F17)</f>
        <v>62.436910000000005</v>
      </c>
      <c r="G18" s="8">
        <f>SUMIF(A16:A17,3,G16:G17)</f>
        <v>0</v>
      </c>
      <c r="H18" s="8">
        <f>SUMIF(A16:A17,3,H16:H17)</f>
        <v>5.9426699999999997</v>
      </c>
      <c r="I18" s="8">
        <f>SUMIF(A16:A17,3,I16:I17)</f>
        <v>135.53702000000001</v>
      </c>
      <c r="J18" s="8">
        <f>SUMIF(A16:A17,3,J16:J17)</f>
        <v>34.982790000000001</v>
      </c>
      <c r="K18" s="8"/>
      <c r="L18" s="8"/>
      <c r="M18" s="8"/>
      <c r="N18" s="8"/>
      <c r="O18" s="8"/>
      <c r="P18" s="8"/>
      <c r="Q18" s="8"/>
      <c r="R18" s="8"/>
      <c r="S18" s="8"/>
    </row>
    <row r="20" spans="1:19" x14ac:dyDescent="0.2">
      <c r="A20" s="4">
        <v>50</v>
      </c>
      <c r="B20" s="4">
        <v>0</v>
      </c>
      <c r="C20" s="4">
        <v>0</v>
      </c>
      <c r="D20" s="4">
        <v>1</v>
      </c>
      <c r="E20" s="4">
        <v>201</v>
      </c>
      <c r="F20" s="4">
        <v>83786.720000000001</v>
      </c>
      <c r="G20" s="4" t="s">
        <v>73</v>
      </c>
      <c r="H20" s="4" t="s">
        <v>74</v>
      </c>
      <c r="I20" s="4"/>
      <c r="J20" s="4"/>
      <c r="K20" s="4">
        <v>201</v>
      </c>
      <c r="L20" s="4">
        <v>1</v>
      </c>
      <c r="M20" s="4">
        <v>3</v>
      </c>
      <c r="N20" s="4" t="s">
        <v>3</v>
      </c>
      <c r="O20" s="4">
        <v>2</v>
      </c>
      <c r="P20" s="4"/>
    </row>
    <row r="21" spans="1:19" x14ac:dyDescent="0.2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38369.800000000003</v>
      </c>
      <c r="G21" s="4" t="s">
        <v>75</v>
      </c>
      <c r="H21" s="4" t="s">
        <v>76</v>
      </c>
      <c r="I21" s="4"/>
      <c r="J21" s="4"/>
      <c r="K21" s="4">
        <v>202</v>
      </c>
      <c r="L21" s="4">
        <v>2</v>
      </c>
      <c r="M21" s="4">
        <v>3</v>
      </c>
      <c r="N21" s="4" t="s">
        <v>3</v>
      </c>
      <c r="O21" s="4">
        <v>2</v>
      </c>
      <c r="P21" s="4"/>
    </row>
    <row r="22" spans="1:19" x14ac:dyDescent="0.2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77</v>
      </c>
      <c r="H22" s="4" t="s">
        <v>78</v>
      </c>
      <c r="I22" s="4"/>
      <c r="J22" s="4"/>
      <c r="K22" s="4">
        <v>222</v>
      </c>
      <c r="L22" s="4">
        <v>3</v>
      </c>
      <c r="M22" s="4">
        <v>3</v>
      </c>
      <c r="N22" s="4" t="s">
        <v>3</v>
      </c>
      <c r="O22" s="4">
        <v>2</v>
      </c>
      <c r="P22" s="4"/>
    </row>
    <row r="23" spans="1:19" x14ac:dyDescent="0.2">
      <c r="A23" s="4">
        <v>50</v>
      </c>
      <c r="B23" s="4">
        <v>0</v>
      </c>
      <c r="C23" s="4">
        <v>0</v>
      </c>
      <c r="D23" s="4">
        <v>1</v>
      </c>
      <c r="E23" s="4">
        <v>225</v>
      </c>
      <c r="F23" s="4">
        <v>38369.800000000003</v>
      </c>
      <c r="G23" s="4" t="s">
        <v>79</v>
      </c>
      <c r="H23" s="4" t="s">
        <v>80</v>
      </c>
      <c r="I23" s="4"/>
      <c r="J23" s="4"/>
      <c r="K23" s="4">
        <v>225</v>
      </c>
      <c r="L23" s="4">
        <v>4</v>
      </c>
      <c r="M23" s="4">
        <v>3</v>
      </c>
      <c r="N23" s="4" t="s">
        <v>3</v>
      </c>
      <c r="O23" s="4">
        <v>2</v>
      </c>
      <c r="P23" s="4"/>
    </row>
    <row r="24" spans="1:19" x14ac:dyDescent="0.2">
      <c r="A24" s="4">
        <v>50</v>
      </c>
      <c r="B24" s="4">
        <v>0</v>
      </c>
      <c r="C24" s="4">
        <v>0</v>
      </c>
      <c r="D24" s="4">
        <v>1</v>
      </c>
      <c r="E24" s="4">
        <v>226</v>
      </c>
      <c r="F24" s="4">
        <v>38369.800000000003</v>
      </c>
      <c r="G24" s="4" t="s">
        <v>81</v>
      </c>
      <c r="H24" s="4" t="s">
        <v>82</v>
      </c>
      <c r="I24" s="4"/>
      <c r="J24" s="4"/>
      <c r="K24" s="4">
        <v>226</v>
      </c>
      <c r="L24" s="4">
        <v>5</v>
      </c>
      <c r="M24" s="4">
        <v>3</v>
      </c>
      <c r="N24" s="4" t="s">
        <v>3</v>
      </c>
      <c r="O24" s="4">
        <v>2</v>
      </c>
      <c r="P24" s="4"/>
    </row>
    <row r="25" spans="1:19" x14ac:dyDescent="0.2">
      <c r="A25" s="4">
        <v>50</v>
      </c>
      <c r="B25" s="4">
        <v>0</v>
      </c>
      <c r="C25" s="4">
        <v>0</v>
      </c>
      <c r="D25" s="4">
        <v>1</v>
      </c>
      <c r="E25" s="4">
        <v>227</v>
      </c>
      <c r="F25" s="4">
        <v>0</v>
      </c>
      <c r="G25" s="4" t="s">
        <v>83</v>
      </c>
      <c r="H25" s="4" t="s">
        <v>84</v>
      </c>
      <c r="I25" s="4"/>
      <c r="J25" s="4"/>
      <c r="K25" s="4">
        <v>227</v>
      </c>
      <c r="L25" s="4">
        <v>6</v>
      </c>
      <c r="M25" s="4">
        <v>3</v>
      </c>
      <c r="N25" s="4" t="s">
        <v>3</v>
      </c>
      <c r="O25" s="4">
        <v>2</v>
      </c>
      <c r="P25" s="4"/>
    </row>
    <row r="26" spans="1:19" x14ac:dyDescent="0.2">
      <c r="A26" s="4">
        <v>50</v>
      </c>
      <c r="B26" s="4">
        <v>0</v>
      </c>
      <c r="C26" s="4">
        <v>0</v>
      </c>
      <c r="D26" s="4">
        <v>1</v>
      </c>
      <c r="E26" s="4">
        <v>228</v>
      </c>
      <c r="F26" s="4">
        <v>38369.800000000003</v>
      </c>
      <c r="G26" s="4" t="s">
        <v>85</v>
      </c>
      <c r="H26" s="4" t="s">
        <v>86</v>
      </c>
      <c r="I26" s="4"/>
      <c r="J26" s="4"/>
      <c r="K26" s="4">
        <v>228</v>
      </c>
      <c r="L26" s="4">
        <v>7</v>
      </c>
      <c r="M26" s="4">
        <v>3</v>
      </c>
      <c r="N26" s="4" t="s">
        <v>3</v>
      </c>
      <c r="O26" s="4">
        <v>2</v>
      </c>
      <c r="P26" s="4"/>
    </row>
    <row r="27" spans="1:19" x14ac:dyDescent="0.2">
      <c r="A27" s="4">
        <v>50</v>
      </c>
      <c r="B27" s="4">
        <v>0</v>
      </c>
      <c r="C27" s="4">
        <v>0</v>
      </c>
      <c r="D27" s="4">
        <v>1</v>
      </c>
      <c r="E27" s="4">
        <v>216</v>
      </c>
      <c r="F27" s="4">
        <v>0</v>
      </c>
      <c r="G27" s="4" t="s">
        <v>87</v>
      </c>
      <c r="H27" s="4" t="s">
        <v>88</v>
      </c>
      <c r="I27" s="4"/>
      <c r="J27" s="4"/>
      <c r="K27" s="4">
        <v>216</v>
      </c>
      <c r="L27" s="4">
        <v>8</v>
      </c>
      <c r="M27" s="4">
        <v>3</v>
      </c>
      <c r="N27" s="4" t="s">
        <v>3</v>
      </c>
      <c r="O27" s="4">
        <v>2</v>
      </c>
      <c r="P27" s="4"/>
    </row>
    <row r="28" spans="1:19" x14ac:dyDescent="0.2">
      <c r="A28" s="4">
        <v>50</v>
      </c>
      <c r="B28" s="4"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89</v>
      </c>
      <c r="H28" s="4" t="s">
        <v>90</v>
      </c>
      <c r="I28" s="4"/>
      <c r="J28" s="4"/>
      <c r="K28" s="4">
        <v>223</v>
      </c>
      <c r="L28" s="4">
        <v>9</v>
      </c>
      <c r="M28" s="4">
        <v>3</v>
      </c>
      <c r="N28" s="4" t="s">
        <v>3</v>
      </c>
      <c r="O28" s="4">
        <v>2</v>
      </c>
      <c r="P28" s="4"/>
    </row>
    <row r="29" spans="1:19" x14ac:dyDescent="0.2">
      <c r="A29" s="4">
        <v>50</v>
      </c>
      <c r="B29" s="4">
        <v>0</v>
      </c>
      <c r="C29" s="4">
        <v>0</v>
      </c>
      <c r="D29" s="4">
        <v>1</v>
      </c>
      <c r="E29" s="4">
        <v>229</v>
      </c>
      <c r="F29" s="4">
        <v>0</v>
      </c>
      <c r="G29" s="4" t="s">
        <v>91</v>
      </c>
      <c r="H29" s="4" t="s">
        <v>92</v>
      </c>
      <c r="I29" s="4"/>
      <c r="J29" s="4"/>
      <c r="K29" s="4">
        <v>229</v>
      </c>
      <c r="L29" s="4">
        <v>10</v>
      </c>
      <c r="M29" s="4">
        <v>3</v>
      </c>
      <c r="N29" s="4" t="s">
        <v>3</v>
      </c>
      <c r="O29" s="4">
        <v>2</v>
      </c>
      <c r="P29" s="4"/>
    </row>
    <row r="30" spans="1:19" x14ac:dyDescent="0.2">
      <c r="A30" s="4">
        <v>50</v>
      </c>
      <c r="B30" s="4">
        <v>0</v>
      </c>
      <c r="C30" s="4">
        <v>0</v>
      </c>
      <c r="D30" s="4">
        <v>1</v>
      </c>
      <c r="E30" s="4">
        <v>203</v>
      </c>
      <c r="F30" s="4">
        <v>10434.129999999999</v>
      </c>
      <c r="G30" s="4" t="s">
        <v>93</v>
      </c>
      <c r="H30" s="4" t="s">
        <v>94</v>
      </c>
      <c r="I30" s="4"/>
      <c r="J30" s="4"/>
      <c r="K30" s="4">
        <v>203</v>
      </c>
      <c r="L30" s="4">
        <v>11</v>
      </c>
      <c r="M30" s="4">
        <v>3</v>
      </c>
      <c r="N30" s="4" t="s">
        <v>3</v>
      </c>
      <c r="O30" s="4">
        <v>2</v>
      </c>
      <c r="P30" s="4"/>
    </row>
    <row r="31" spans="1:19" x14ac:dyDescent="0.2">
      <c r="A31" s="4">
        <v>50</v>
      </c>
      <c r="B31" s="4">
        <v>0</v>
      </c>
      <c r="C31" s="4">
        <v>0</v>
      </c>
      <c r="D31" s="4">
        <v>1</v>
      </c>
      <c r="E31" s="4">
        <v>231</v>
      </c>
      <c r="F31" s="4">
        <v>0</v>
      </c>
      <c r="G31" s="4" t="s">
        <v>95</v>
      </c>
      <c r="H31" s="4" t="s">
        <v>96</v>
      </c>
      <c r="I31" s="4"/>
      <c r="J31" s="4"/>
      <c r="K31" s="4">
        <v>231</v>
      </c>
      <c r="L31" s="4">
        <v>12</v>
      </c>
      <c r="M31" s="4">
        <v>3</v>
      </c>
      <c r="N31" s="4" t="s">
        <v>3</v>
      </c>
      <c r="O31" s="4">
        <v>2</v>
      </c>
      <c r="P31" s="4"/>
    </row>
    <row r="32" spans="1:19" x14ac:dyDescent="0.2">
      <c r="A32" s="4">
        <v>50</v>
      </c>
      <c r="B32" s="4">
        <v>0</v>
      </c>
      <c r="C32" s="4">
        <v>0</v>
      </c>
      <c r="D32" s="4">
        <v>1</v>
      </c>
      <c r="E32" s="4">
        <v>204</v>
      </c>
      <c r="F32" s="4">
        <v>7231.06</v>
      </c>
      <c r="G32" s="4" t="s">
        <v>97</v>
      </c>
      <c r="H32" s="4" t="s">
        <v>98</v>
      </c>
      <c r="I32" s="4"/>
      <c r="J32" s="4"/>
      <c r="K32" s="4">
        <v>204</v>
      </c>
      <c r="L32" s="4">
        <v>13</v>
      </c>
      <c r="M32" s="4">
        <v>3</v>
      </c>
      <c r="N32" s="4" t="s">
        <v>3</v>
      </c>
      <c r="O32" s="4">
        <v>2</v>
      </c>
      <c r="P32" s="4"/>
    </row>
    <row r="33" spans="1:16" x14ac:dyDescent="0.2">
      <c r="A33" s="4">
        <v>50</v>
      </c>
      <c r="B33" s="4">
        <v>0</v>
      </c>
      <c r="C33" s="4">
        <v>0</v>
      </c>
      <c r="D33" s="4">
        <v>1</v>
      </c>
      <c r="E33" s="4">
        <v>205</v>
      </c>
      <c r="F33" s="4">
        <v>34982.79</v>
      </c>
      <c r="G33" s="4" t="s">
        <v>99</v>
      </c>
      <c r="H33" s="4" t="s">
        <v>100</v>
      </c>
      <c r="I33" s="4"/>
      <c r="J33" s="4"/>
      <c r="K33" s="4">
        <v>205</v>
      </c>
      <c r="L33" s="4">
        <v>14</v>
      </c>
      <c r="M33" s="4">
        <v>3</v>
      </c>
      <c r="N33" s="4" t="s">
        <v>3</v>
      </c>
      <c r="O33" s="4">
        <v>2</v>
      </c>
      <c r="P33" s="4"/>
    </row>
    <row r="34" spans="1:16" x14ac:dyDescent="0.2">
      <c r="A34" s="4">
        <v>50</v>
      </c>
      <c r="B34" s="4">
        <v>0</v>
      </c>
      <c r="C34" s="4">
        <v>0</v>
      </c>
      <c r="D34" s="4">
        <v>1</v>
      </c>
      <c r="E34" s="4">
        <v>232</v>
      </c>
      <c r="F34" s="4">
        <v>0</v>
      </c>
      <c r="G34" s="4" t="s">
        <v>101</v>
      </c>
      <c r="H34" s="4" t="s">
        <v>102</v>
      </c>
      <c r="I34" s="4"/>
      <c r="J34" s="4"/>
      <c r="K34" s="4">
        <v>232</v>
      </c>
      <c r="L34" s="4">
        <v>15</v>
      </c>
      <c r="M34" s="4">
        <v>3</v>
      </c>
      <c r="N34" s="4" t="s">
        <v>3</v>
      </c>
      <c r="O34" s="4">
        <v>2</v>
      </c>
      <c r="P34" s="4"/>
    </row>
    <row r="35" spans="1:16" x14ac:dyDescent="0.2">
      <c r="A35" s="4">
        <v>50</v>
      </c>
      <c r="B35" s="4">
        <v>0</v>
      </c>
      <c r="C35" s="4">
        <v>0</v>
      </c>
      <c r="D35" s="4">
        <v>1</v>
      </c>
      <c r="E35" s="4">
        <v>214</v>
      </c>
      <c r="F35" s="4">
        <v>67157.440000000002</v>
      </c>
      <c r="G35" s="4" t="s">
        <v>103</v>
      </c>
      <c r="H35" s="4" t="s">
        <v>104</v>
      </c>
      <c r="I35" s="4"/>
      <c r="J35" s="4"/>
      <c r="K35" s="4">
        <v>214</v>
      </c>
      <c r="L35" s="4">
        <v>16</v>
      </c>
      <c r="M35" s="4">
        <v>3</v>
      </c>
      <c r="N35" s="4" t="s">
        <v>3</v>
      </c>
      <c r="O35" s="4">
        <v>2</v>
      </c>
      <c r="P35" s="4"/>
    </row>
    <row r="36" spans="1:16" x14ac:dyDescent="0.2">
      <c r="A36" s="4">
        <v>50</v>
      </c>
      <c r="B36" s="4">
        <v>0</v>
      </c>
      <c r="C36" s="4">
        <v>0</v>
      </c>
      <c r="D36" s="4">
        <v>1</v>
      </c>
      <c r="E36" s="4">
        <v>215</v>
      </c>
      <c r="F36" s="4">
        <v>62436.91</v>
      </c>
      <c r="G36" s="4" t="s">
        <v>105</v>
      </c>
      <c r="H36" s="4" t="s">
        <v>106</v>
      </c>
      <c r="I36" s="4"/>
      <c r="J36" s="4"/>
      <c r="K36" s="4">
        <v>215</v>
      </c>
      <c r="L36" s="4">
        <v>17</v>
      </c>
      <c r="M36" s="4">
        <v>3</v>
      </c>
      <c r="N36" s="4" t="s">
        <v>3</v>
      </c>
      <c r="O36" s="4">
        <v>2</v>
      </c>
      <c r="P36" s="4"/>
    </row>
    <row r="37" spans="1:16" x14ac:dyDescent="0.2">
      <c r="A37" s="4">
        <v>50</v>
      </c>
      <c r="B37" s="4">
        <v>0</v>
      </c>
      <c r="C37" s="4">
        <v>0</v>
      </c>
      <c r="D37" s="4">
        <v>1</v>
      </c>
      <c r="E37" s="4">
        <v>217</v>
      </c>
      <c r="F37" s="4">
        <v>5942.67</v>
      </c>
      <c r="G37" s="4" t="s">
        <v>107</v>
      </c>
      <c r="H37" s="4" t="s">
        <v>108</v>
      </c>
      <c r="I37" s="4"/>
      <c r="J37" s="4"/>
      <c r="K37" s="4">
        <v>217</v>
      </c>
      <c r="L37" s="4">
        <v>18</v>
      </c>
      <c r="M37" s="4">
        <v>3</v>
      </c>
      <c r="N37" s="4" t="s">
        <v>3</v>
      </c>
      <c r="O37" s="4">
        <v>2</v>
      </c>
      <c r="P37" s="4"/>
    </row>
    <row r="38" spans="1:16" x14ac:dyDescent="0.2">
      <c r="A38" s="4">
        <v>50</v>
      </c>
      <c r="B38" s="4">
        <v>0</v>
      </c>
      <c r="C38" s="4">
        <v>0</v>
      </c>
      <c r="D38" s="4">
        <v>1</v>
      </c>
      <c r="E38" s="4">
        <v>230</v>
      </c>
      <c r="F38" s="4">
        <v>0</v>
      </c>
      <c r="G38" s="4" t="s">
        <v>109</v>
      </c>
      <c r="H38" s="4" t="s">
        <v>110</v>
      </c>
      <c r="I38" s="4"/>
      <c r="J38" s="4"/>
      <c r="K38" s="4">
        <v>230</v>
      </c>
      <c r="L38" s="4">
        <v>19</v>
      </c>
      <c r="M38" s="4">
        <v>3</v>
      </c>
      <c r="N38" s="4" t="s">
        <v>3</v>
      </c>
      <c r="O38" s="4">
        <v>2</v>
      </c>
      <c r="P38" s="4"/>
    </row>
    <row r="39" spans="1:16" x14ac:dyDescent="0.2">
      <c r="A39" s="4">
        <v>50</v>
      </c>
      <c r="B39" s="4">
        <v>0</v>
      </c>
      <c r="C39" s="4">
        <v>0</v>
      </c>
      <c r="D39" s="4">
        <v>1</v>
      </c>
      <c r="E39" s="4">
        <v>206</v>
      </c>
      <c r="F39" s="4">
        <v>0</v>
      </c>
      <c r="G39" s="4" t="s">
        <v>111</v>
      </c>
      <c r="H39" s="4" t="s">
        <v>112</v>
      </c>
      <c r="I39" s="4"/>
      <c r="J39" s="4"/>
      <c r="K39" s="4">
        <v>206</v>
      </c>
      <c r="L39" s="4">
        <v>20</v>
      </c>
      <c r="M39" s="4">
        <v>3</v>
      </c>
      <c r="N39" s="4" t="s">
        <v>3</v>
      </c>
      <c r="O39" s="4">
        <v>2</v>
      </c>
      <c r="P39" s="4"/>
    </row>
    <row r="40" spans="1:16" x14ac:dyDescent="0.2">
      <c r="A40" s="4">
        <v>50</v>
      </c>
      <c r="B40" s="4">
        <v>0</v>
      </c>
      <c r="C40" s="4">
        <v>0</v>
      </c>
      <c r="D40" s="4">
        <v>1</v>
      </c>
      <c r="E40" s="4">
        <v>207</v>
      </c>
      <c r="F40" s="4">
        <v>126.47149428</v>
      </c>
      <c r="G40" s="4" t="s">
        <v>113</v>
      </c>
      <c r="H40" s="4" t="s">
        <v>114</v>
      </c>
      <c r="I40" s="4"/>
      <c r="J40" s="4"/>
      <c r="K40" s="4">
        <v>207</v>
      </c>
      <c r="L40" s="4">
        <v>21</v>
      </c>
      <c r="M40" s="4">
        <v>3</v>
      </c>
      <c r="N40" s="4" t="s">
        <v>3</v>
      </c>
      <c r="O40" s="4">
        <v>-1</v>
      </c>
      <c r="P40" s="4"/>
    </row>
    <row r="41" spans="1:16" x14ac:dyDescent="0.2">
      <c r="A41" s="4">
        <v>50</v>
      </c>
      <c r="B41" s="4">
        <v>0</v>
      </c>
      <c r="C41" s="4">
        <v>0</v>
      </c>
      <c r="D41" s="4">
        <v>1</v>
      </c>
      <c r="E41" s="4">
        <v>208</v>
      </c>
      <c r="F41" s="4">
        <v>0</v>
      </c>
      <c r="G41" s="4" t="s">
        <v>115</v>
      </c>
      <c r="H41" s="4" t="s">
        <v>116</v>
      </c>
      <c r="I41" s="4"/>
      <c r="J41" s="4"/>
      <c r="K41" s="4">
        <v>208</v>
      </c>
      <c r="L41" s="4">
        <v>22</v>
      </c>
      <c r="M41" s="4">
        <v>3</v>
      </c>
      <c r="N41" s="4" t="s">
        <v>3</v>
      </c>
      <c r="O41" s="4">
        <v>-1</v>
      </c>
      <c r="P41" s="4"/>
    </row>
    <row r="42" spans="1:16" x14ac:dyDescent="0.2">
      <c r="A42" s="4">
        <v>50</v>
      </c>
      <c r="B42" s="4">
        <v>0</v>
      </c>
      <c r="C42" s="4">
        <v>0</v>
      </c>
      <c r="D42" s="4">
        <v>1</v>
      </c>
      <c r="E42" s="4">
        <v>209</v>
      </c>
      <c r="F42" s="4">
        <v>0</v>
      </c>
      <c r="G42" s="4" t="s">
        <v>117</v>
      </c>
      <c r="H42" s="4" t="s">
        <v>118</v>
      </c>
      <c r="I42" s="4"/>
      <c r="J42" s="4"/>
      <c r="K42" s="4">
        <v>209</v>
      </c>
      <c r="L42" s="4">
        <v>23</v>
      </c>
      <c r="M42" s="4">
        <v>3</v>
      </c>
      <c r="N42" s="4" t="s">
        <v>3</v>
      </c>
      <c r="O42" s="4">
        <v>2</v>
      </c>
      <c r="P42" s="4"/>
    </row>
    <row r="43" spans="1:16" x14ac:dyDescent="0.2">
      <c r="A43" s="4">
        <v>50</v>
      </c>
      <c r="B43" s="4">
        <v>0</v>
      </c>
      <c r="C43" s="4">
        <v>0</v>
      </c>
      <c r="D43" s="4">
        <v>1</v>
      </c>
      <c r="E43" s="4">
        <v>233</v>
      </c>
      <c r="F43" s="4">
        <v>0</v>
      </c>
      <c r="G43" s="4" t="s">
        <v>119</v>
      </c>
      <c r="H43" s="4" t="s">
        <v>120</v>
      </c>
      <c r="I43" s="4"/>
      <c r="J43" s="4"/>
      <c r="K43" s="4">
        <v>233</v>
      </c>
      <c r="L43" s="4">
        <v>24</v>
      </c>
      <c r="M43" s="4">
        <v>3</v>
      </c>
      <c r="N43" s="4" t="s">
        <v>3</v>
      </c>
      <c r="O43" s="4">
        <v>2</v>
      </c>
      <c r="P43" s="4"/>
    </row>
    <row r="44" spans="1:16" x14ac:dyDescent="0.2">
      <c r="A44" s="4">
        <v>50</v>
      </c>
      <c r="B44" s="4">
        <v>0</v>
      </c>
      <c r="C44" s="4">
        <v>0</v>
      </c>
      <c r="D44" s="4">
        <v>1</v>
      </c>
      <c r="E44" s="4">
        <v>210</v>
      </c>
      <c r="F44" s="4">
        <v>25975.64</v>
      </c>
      <c r="G44" s="4" t="s">
        <v>121</v>
      </c>
      <c r="H44" s="4" t="s">
        <v>122</v>
      </c>
      <c r="I44" s="4"/>
      <c r="J44" s="4"/>
      <c r="K44" s="4">
        <v>210</v>
      </c>
      <c r="L44" s="4">
        <v>25</v>
      </c>
      <c r="M44" s="4">
        <v>3</v>
      </c>
      <c r="N44" s="4" t="s">
        <v>3</v>
      </c>
      <c r="O44" s="4">
        <v>2</v>
      </c>
      <c r="P44" s="4"/>
    </row>
    <row r="45" spans="1:16" x14ac:dyDescent="0.2">
      <c r="A45" s="4">
        <v>50</v>
      </c>
      <c r="B45" s="4">
        <v>0</v>
      </c>
      <c r="C45" s="4">
        <v>0</v>
      </c>
      <c r="D45" s="4">
        <v>1</v>
      </c>
      <c r="E45" s="4">
        <v>211</v>
      </c>
      <c r="F45" s="4">
        <v>14421.88</v>
      </c>
      <c r="G45" s="4" t="s">
        <v>123</v>
      </c>
      <c r="H45" s="4" t="s">
        <v>124</v>
      </c>
      <c r="I45" s="4"/>
      <c r="J45" s="4"/>
      <c r="K45" s="4">
        <v>211</v>
      </c>
      <c r="L45" s="4">
        <v>26</v>
      </c>
      <c r="M45" s="4">
        <v>3</v>
      </c>
      <c r="N45" s="4" t="s">
        <v>3</v>
      </c>
      <c r="O45" s="4">
        <v>2</v>
      </c>
      <c r="P45" s="4"/>
    </row>
    <row r="46" spans="1:16" x14ac:dyDescent="0.2">
      <c r="A46" s="4">
        <v>50</v>
      </c>
      <c r="B46" s="4">
        <v>0</v>
      </c>
      <c r="C46" s="4">
        <v>0</v>
      </c>
      <c r="D46" s="4">
        <v>1</v>
      </c>
      <c r="E46" s="4">
        <v>224</v>
      </c>
      <c r="F46" s="4">
        <v>135537.01999999999</v>
      </c>
      <c r="G46" s="4" t="s">
        <v>125</v>
      </c>
      <c r="H46" s="4" t="s">
        <v>126</v>
      </c>
      <c r="I46" s="4"/>
      <c r="J46" s="4"/>
      <c r="K46" s="4">
        <v>224</v>
      </c>
      <c r="L46" s="4">
        <v>27</v>
      </c>
      <c r="M46" s="4">
        <v>3</v>
      </c>
      <c r="N46" s="4" t="s">
        <v>3</v>
      </c>
      <c r="O46" s="4">
        <v>2</v>
      </c>
      <c r="P46" s="4"/>
    </row>
    <row r="47" spans="1:16" x14ac:dyDescent="0.2">
      <c r="A47" s="4">
        <v>50</v>
      </c>
      <c r="B47" s="4">
        <v>1</v>
      </c>
      <c r="C47" s="4">
        <v>0</v>
      </c>
      <c r="D47" s="4">
        <v>2</v>
      </c>
      <c r="E47" s="4">
        <v>0</v>
      </c>
      <c r="F47" s="4">
        <v>135537.01999999999</v>
      </c>
      <c r="G47" s="4" t="s">
        <v>208</v>
      </c>
      <c r="H47" s="4" t="s">
        <v>208</v>
      </c>
      <c r="I47" s="4"/>
      <c r="J47" s="4"/>
      <c r="K47" s="4">
        <v>212</v>
      </c>
      <c r="L47" s="4">
        <v>28</v>
      </c>
      <c r="M47" s="4">
        <v>0</v>
      </c>
      <c r="N47" s="4" t="s">
        <v>3</v>
      </c>
      <c r="O47" s="4">
        <v>2</v>
      </c>
      <c r="P47" s="4"/>
    </row>
    <row r="48" spans="1:16" x14ac:dyDescent="0.2">
      <c r="A48" s="4">
        <v>50</v>
      </c>
      <c r="B48" s="4">
        <v>1</v>
      </c>
      <c r="C48" s="4">
        <v>0</v>
      </c>
      <c r="D48" s="4">
        <v>2</v>
      </c>
      <c r="E48" s="4">
        <v>0</v>
      </c>
      <c r="F48" s="4">
        <v>27107.4</v>
      </c>
      <c r="G48" s="4" t="s">
        <v>209</v>
      </c>
      <c r="H48" s="4" t="s">
        <v>210</v>
      </c>
      <c r="I48" s="4"/>
      <c r="J48" s="4"/>
      <c r="K48" s="4">
        <v>212</v>
      </c>
      <c r="L48" s="4">
        <v>29</v>
      </c>
      <c r="M48" s="4">
        <v>0</v>
      </c>
      <c r="N48" s="4" t="s">
        <v>3</v>
      </c>
      <c r="O48" s="4">
        <v>2</v>
      </c>
      <c r="P48" s="4"/>
    </row>
    <row r="49" spans="1:40" x14ac:dyDescent="0.2">
      <c r="A49" s="4">
        <v>50</v>
      </c>
      <c r="B49" s="4">
        <v>1</v>
      </c>
      <c r="C49" s="4">
        <v>0</v>
      </c>
      <c r="D49" s="4">
        <v>2</v>
      </c>
      <c r="E49" s="4">
        <v>213</v>
      </c>
      <c r="F49" s="4">
        <v>162644.42000000001</v>
      </c>
      <c r="G49" s="4" t="s">
        <v>211</v>
      </c>
      <c r="H49" s="4" t="s">
        <v>211</v>
      </c>
      <c r="I49" s="4"/>
      <c r="J49" s="4"/>
      <c r="K49" s="4">
        <v>212</v>
      </c>
      <c r="L49" s="4">
        <v>30</v>
      </c>
      <c r="M49" s="4">
        <v>0</v>
      </c>
      <c r="N49" s="4" t="s">
        <v>3</v>
      </c>
      <c r="O49" s="4">
        <v>2</v>
      </c>
      <c r="P49" s="4"/>
    </row>
    <row r="51" spans="1:40" x14ac:dyDescent="0.2">
      <c r="A51">
        <v>-1</v>
      </c>
    </row>
    <row r="54" spans="1:40" x14ac:dyDescent="0.2">
      <c r="A54" s="3">
        <v>75</v>
      </c>
      <c r="B54" s="3" t="s">
        <v>212</v>
      </c>
      <c r="C54" s="3">
        <v>2020</v>
      </c>
      <c r="D54" s="3">
        <v>0</v>
      </c>
      <c r="E54" s="3">
        <v>12</v>
      </c>
      <c r="F54" s="3"/>
      <c r="G54" s="3">
        <v>0</v>
      </c>
      <c r="H54" s="3">
        <v>2</v>
      </c>
      <c r="I54" s="3">
        <v>1</v>
      </c>
      <c r="J54" s="3">
        <v>1</v>
      </c>
      <c r="K54" s="3">
        <v>93</v>
      </c>
      <c r="L54" s="3">
        <v>64</v>
      </c>
      <c r="M54" s="3">
        <v>0</v>
      </c>
      <c r="N54" s="3">
        <v>23689695</v>
      </c>
      <c r="O54" s="3">
        <v>1</v>
      </c>
    </row>
    <row r="55" spans="1:40" x14ac:dyDescent="0.2">
      <c r="A55" s="5">
        <v>1</v>
      </c>
      <c r="B55" s="5" t="s">
        <v>213</v>
      </c>
      <c r="C55" s="5" t="s">
        <v>214</v>
      </c>
      <c r="D55" s="5">
        <v>2020</v>
      </c>
      <c r="E55" s="5">
        <v>12</v>
      </c>
      <c r="F55" s="5">
        <v>1</v>
      </c>
      <c r="G55" s="5">
        <v>1</v>
      </c>
      <c r="H55" s="5">
        <v>0</v>
      </c>
      <c r="I55" s="5">
        <v>2</v>
      </c>
      <c r="J55" s="5">
        <v>1</v>
      </c>
      <c r="K55" s="5">
        <v>1</v>
      </c>
      <c r="L55" s="5">
        <v>1</v>
      </c>
      <c r="M55" s="5">
        <v>1</v>
      </c>
      <c r="N55" s="5">
        <v>1</v>
      </c>
      <c r="O55" s="5">
        <v>1</v>
      </c>
      <c r="P55" s="5">
        <v>1</v>
      </c>
      <c r="Q55" s="5">
        <v>1</v>
      </c>
      <c r="R55" s="5" t="s">
        <v>3</v>
      </c>
      <c r="S55" s="5" t="s">
        <v>3</v>
      </c>
      <c r="T55" s="5" t="s">
        <v>3</v>
      </c>
      <c r="U55" s="5" t="s">
        <v>3</v>
      </c>
      <c r="V55" s="5" t="s">
        <v>3</v>
      </c>
      <c r="W55" s="5" t="s">
        <v>3</v>
      </c>
      <c r="X55" s="5" t="s">
        <v>3</v>
      </c>
      <c r="Y55" s="5" t="s">
        <v>3</v>
      </c>
      <c r="Z55" s="5" t="s">
        <v>3</v>
      </c>
      <c r="AA55" s="5" t="s">
        <v>215</v>
      </c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>
        <v>23689696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1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7" x14ac:dyDescent="0.2">
      <c r="A1">
        <f>ROW(Source!A28)</f>
        <v>28</v>
      </c>
      <c r="B1">
        <v>23689695</v>
      </c>
      <c r="C1">
        <v>23690048</v>
      </c>
      <c r="D1">
        <v>16804829</v>
      </c>
      <c r="E1">
        <v>16804826</v>
      </c>
      <c r="F1">
        <v>1</v>
      </c>
      <c r="G1">
        <v>16804826</v>
      </c>
      <c r="H1">
        <v>1</v>
      </c>
      <c r="I1" t="s">
        <v>217</v>
      </c>
      <c r="J1" t="s">
        <v>3</v>
      </c>
      <c r="K1" t="s">
        <v>218</v>
      </c>
      <c r="L1">
        <v>1191</v>
      </c>
      <c r="N1">
        <v>1013</v>
      </c>
      <c r="O1" t="s">
        <v>219</v>
      </c>
      <c r="P1" t="s">
        <v>219</v>
      </c>
      <c r="Q1">
        <v>1</v>
      </c>
      <c r="W1">
        <v>0</v>
      </c>
      <c r="X1">
        <v>946207192</v>
      </c>
      <c r="Y1">
        <v>192.7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3</v>
      </c>
      <c r="AT1">
        <v>192.7</v>
      </c>
      <c r="AU1" t="s">
        <v>3</v>
      </c>
      <c r="AV1">
        <v>1</v>
      </c>
      <c r="AW1">
        <v>2</v>
      </c>
      <c r="AX1">
        <v>23690050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Y1*Source!I28</f>
        <v>45.091799999999999</v>
      </c>
      <c r="CY1">
        <f>AD1</f>
        <v>0</v>
      </c>
      <c r="CZ1">
        <f>AH1</f>
        <v>0</v>
      </c>
      <c r="DA1">
        <f>AL1</f>
        <v>1</v>
      </c>
      <c r="DB1">
        <f t="shared" ref="DB1:DB10" si="0">ROUND(ROUND(AT1*CZ1,2),6)</f>
        <v>0</v>
      </c>
      <c r="DC1">
        <f t="shared" ref="DC1:DC10" si="1">ROUND(ROUND(AT1*AG1,2),6)</f>
        <v>0</v>
      </c>
    </row>
    <row r="2" spans="1:107" x14ac:dyDescent="0.2">
      <c r="A2">
        <f>ROW(Source!A29)</f>
        <v>29</v>
      </c>
      <c r="B2">
        <v>23689695</v>
      </c>
      <c r="C2">
        <v>23690051</v>
      </c>
      <c r="D2">
        <v>16804829</v>
      </c>
      <c r="E2">
        <v>16804826</v>
      </c>
      <c r="F2">
        <v>1</v>
      </c>
      <c r="G2">
        <v>16804826</v>
      </c>
      <c r="H2">
        <v>1</v>
      </c>
      <c r="I2" t="s">
        <v>217</v>
      </c>
      <c r="J2" t="s">
        <v>3</v>
      </c>
      <c r="K2" t="s">
        <v>218</v>
      </c>
      <c r="L2">
        <v>1191</v>
      </c>
      <c r="N2">
        <v>1013</v>
      </c>
      <c r="O2" t="s">
        <v>219</v>
      </c>
      <c r="P2" t="s">
        <v>219</v>
      </c>
      <c r="Q2">
        <v>1</v>
      </c>
      <c r="W2">
        <v>0</v>
      </c>
      <c r="X2">
        <v>946207192</v>
      </c>
      <c r="Y2">
        <v>107.04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1</v>
      </c>
      <c r="AQ2">
        <v>0</v>
      </c>
      <c r="AR2">
        <v>0</v>
      </c>
      <c r="AS2" t="s">
        <v>3</v>
      </c>
      <c r="AT2">
        <v>107.04</v>
      </c>
      <c r="AU2" t="s">
        <v>3</v>
      </c>
      <c r="AV2">
        <v>1</v>
      </c>
      <c r="AW2">
        <v>2</v>
      </c>
      <c r="AX2">
        <v>23690053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Y2*Source!I29</f>
        <v>25.047360000000001</v>
      </c>
      <c r="CY2">
        <f>AD2</f>
        <v>0</v>
      </c>
      <c r="CZ2">
        <f>AH2</f>
        <v>0</v>
      </c>
      <c r="DA2">
        <f>AL2</f>
        <v>1</v>
      </c>
      <c r="DB2">
        <f t="shared" si="0"/>
        <v>0</v>
      </c>
      <c r="DC2">
        <f t="shared" si="1"/>
        <v>0</v>
      </c>
    </row>
    <row r="3" spans="1:107" x14ac:dyDescent="0.2">
      <c r="A3">
        <f>ROW(Source!A30)</f>
        <v>30</v>
      </c>
      <c r="B3">
        <v>23689695</v>
      </c>
      <c r="C3">
        <v>23690054</v>
      </c>
      <c r="D3">
        <v>16945387</v>
      </c>
      <c r="E3">
        <v>1</v>
      </c>
      <c r="F3">
        <v>1</v>
      </c>
      <c r="G3">
        <v>16804826</v>
      </c>
      <c r="H3">
        <v>2</v>
      </c>
      <c r="I3" t="s">
        <v>220</v>
      </c>
      <c r="J3" t="s">
        <v>221</v>
      </c>
      <c r="K3" t="s">
        <v>222</v>
      </c>
      <c r="L3">
        <v>1368</v>
      </c>
      <c r="N3">
        <v>1011</v>
      </c>
      <c r="O3" t="s">
        <v>223</v>
      </c>
      <c r="P3" t="s">
        <v>223</v>
      </c>
      <c r="Q3">
        <v>1</v>
      </c>
      <c r="W3">
        <v>0</v>
      </c>
      <c r="X3">
        <v>1593444320</v>
      </c>
      <c r="Y3">
        <v>286</v>
      </c>
      <c r="AA3">
        <v>0</v>
      </c>
      <c r="AB3">
        <v>137.87</v>
      </c>
      <c r="AC3">
        <v>108.88</v>
      </c>
      <c r="AD3">
        <v>0</v>
      </c>
      <c r="AE3">
        <v>0</v>
      </c>
      <c r="AF3">
        <v>7.11</v>
      </c>
      <c r="AG3">
        <v>4.1900000000000004</v>
      </c>
      <c r="AH3">
        <v>0</v>
      </c>
      <c r="AI3">
        <v>1</v>
      </c>
      <c r="AJ3">
        <v>18.52</v>
      </c>
      <c r="AK3">
        <v>24.82</v>
      </c>
      <c r="AL3">
        <v>1</v>
      </c>
      <c r="AN3">
        <v>0</v>
      </c>
      <c r="AO3">
        <v>1</v>
      </c>
      <c r="AP3">
        <v>1</v>
      </c>
      <c r="AQ3">
        <v>0</v>
      </c>
      <c r="AR3">
        <v>0</v>
      </c>
      <c r="AS3" t="s">
        <v>3</v>
      </c>
      <c r="AT3">
        <v>286</v>
      </c>
      <c r="AU3" t="s">
        <v>3</v>
      </c>
      <c r="AV3">
        <v>0</v>
      </c>
      <c r="AW3">
        <v>2</v>
      </c>
      <c r="AX3">
        <v>23690056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Y3*Source!I30</f>
        <v>20.077200000000001</v>
      </c>
      <c r="CY3">
        <f>AB3</f>
        <v>137.87</v>
      </c>
      <c r="CZ3">
        <f>AF3</f>
        <v>7.11</v>
      </c>
      <c r="DA3">
        <f>AJ3</f>
        <v>18.52</v>
      </c>
      <c r="DB3">
        <f t="shared" si="0"/>
        <v>2033.46</v>
      </c>
      <c r="DC3">
        <f t="shared" si="1"/>
        <v>1198.3399999999999</v>
      </c>
    </row>
    <row r="4" spans="1:107" x14ac:dyDescent="0.2">
      <c r="A4">
        <f>ROW(Source!A32)</f>
        <v>32</v>
      </c>
      <c r="B4">
        <v>23689695</v>
      </c>
      <c r="C4">
        <v>23690058</v>
      </c>
      <c r="D4">
        <v>16804829</v>
      </c>
      <c r="E4">
        <v>16804826</v>
      </c>
      <c r="F4">
        <v>1</v>
      </c>
      <c r="G4">
        <v>16804826</v>
      </c>
      <c r="H4">
        <v>1</v>
      </c>
      <c r="I4" t="s">
        <v>217</v>
      </c>
      <c r="J4" t="s">
        <v>3</v>
      </c>
      <c r="K4" t="s">
        <v>218</v>
      </c>
      <c r="L4">
        <v>1191</v>
      </c>
      <c r="N4">
        <v>1013</v>
      </c>
      <c r="O4" t="s">
        <v>219</v>
      </c>
      <c r="P4" t="s">
        <v>219</v>
      </c>
      <c r="Q4">
        <v>1</v>
      </c>
      <c r="W4">
        <v>0</v>
      </c>
      <c r="X4">
        <v>946207192</v>
      </c>
      <c r="Y4">
        <v>133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1</v>
      </c>
      <c r="AQ4">
        <v>0</v>
      </c>
      <c r="AR4">
        <v>0</v>
      </c>
      <c r="AS4" t="s">
        <v>3</v>
      </c>
      <c r="AT4">
        <v>133</v>
      </c>
      <c r="AU4" t="s">
        <v>3</v>
      </c>
      <c r="AV4">
        <v>1</v>
      </c>
      <c r="AW4">
        <v>2</v>
      </c>
      <c r="AX4">
        <v>23690061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Y4*Source!I32</f>
        <v>1.5960000000000001</v>
      </c>
      <c r="CY4">
        <f>AD4</f>
        <v>0</v>
      </c>
      <c r="CZ4">
        <f>AH4</f>
        <v>0</v>
      </c>
      <c r="DA4">
        <f>AL4</f>
        <v>1</v>
      </c>
      <c r="DB4">
        <f t="shared" si="0"/>
        <v>0</v>
      </c>
      <c r="DC4">
        <f t="shared" si="1"/>
        <v>0</v>
      </c>
    </row>
    <row r="5" spans="1:107" x14ac:dyDescent="0.2">
      <c r="A5">
        <f>ROW(Source!A32)</f>
        <v>32</v>
      </c>
      <c r="B5">
        <v>23689695</v>
      </c>
      <c r="C5">
        <v>23690058</v>
      </c>
      <c r="D5">
        <v>16859845</v>
      </c>
      <c r="E5">
        <v>16804826</v>
      </c>
      <c r="F5">
        <v>1</v>
      </c>
      <c r="G5">
        <v>16804826</v>
      </c>
      <c r="H5">
        <v>3</v>
      </c>
      <c r="I5" t="s">
        <v>224</v>
      </c>
      <c r="J5" t="s">
        <v>3</v>
      </c>
      <c r="K5" t="s">
        <v>225</v>
      </c>
      <c r="L5">
        <v>1344</v>
      </c>
      <c r="N5">
        <v>1008</v>
      </c>
      <c r="O5" t="s">
        <v>226</v>
      </c>
      <c r="P5" t="s">
        <v>226</v>
      </c>
      <c r="Q5">
        <v>1</v>
      </c>
      <c r="W5">
        <v>0</v>
      </c>
      <c r="X5">
        <v>-360884371</v>
      </c>
      <c r="Y5">
        <v>44.38</v>
      </c>
      <c r="AA5">
        <v>1.08</v>
      </c>
      <c r="AB5">
        <v>0</v>
      </c>
      <c r="AC5">
        <v>0</v>
      </c>
      <c r="AD5">
        <v>0</v>
      </c>
      <c r="AE5">
        <v>1</v>
      </c>
      <c r="AF5">
        <v>0</v>
      </c>
      <c r="AG5">
        <v>0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44.38</v>
      </c>
      <c r="AU5" t="s">
        <v>3</v>
      </c>
      <c r="AV5">
        <v>0</v>
      </c>
      <c r="AW5">
        <v>2</v>
      </c>
      <c r="AX5">
        <v>23690062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Y5*Source!I32</f>
        <v>0.53256000000000003</v>
      </c>
      <c r="CY5">
        <f>AA5</f>
        <v>1.08</v>
      </c>
      <c r="CZ5">
        <f>AE5</f>
        <v>1</v>
      </c>
      <c r="DA5">
        <f>AI5</f>
        <v>1</v>
      </c>
      <c r="DB5">
        <f t="shared" si="0"/>
        <v>44.38</v>
      </c>
      <c r="DC5">
        <f t="shared" si="1"/>
        <v>0</v>
      </c>
    </row>
    <row r="6" spans="1:107" x14ac:dyDescent="0.2">
      <c r="A6">
        <f>ROW(Source!A33)</f>
        <v>33</v>
      </c>
      <c r="B6">
        <v>23689695</v>
      </c>
      <c r="C6">
        <v>23690064</v>
      </c>
      <c r="D6">
        <v>16950300</v>
      </c>
      <c r="E6">
        <v>1</v>
      </c>
      <c r="F6">
        <v>1</v>
      </c>
      <c r="G6">
        <v>16804826</v>
      </c>
      <c r="H6">
        <v>3</v>
      </c>
      <c r="I6" t="s">
        <v>63</v>
      </c>
      <c r="J6" t="s">
        <v>66</v>
      </c>
      <c r="K6" t="s">
        <v>64</v>
      </c>
      <c r="L6">
        <v>1354</v>
      </c>
      <c r="N6">
        <v>1010</v>
      </c>
      <c r="O6" t="s">
        <v>65</v>
      </c>
      <c r="P6" t="s">
        <v>65</v>
      </c>
      <c r="Q6">
        <v>1</v>
      </c>
      <c r="W6">
        <v>0</v>
      </c>
      <c r="X6">
        <v>-1703718519</v>
      </c>
      <c r="Y6">
        <v>206</v>
      </c>
      <c r="AA6">
        <v>60.54</v>
      </c>
      <c r="AB6">
        <v>0</v>
      </c>
      <c r="AC6">
        <v>0</v>
      </c>
      <c r="AD6">
        <v>0</v>
      </c>
      <c r="AE6">
        <v>8.82</v>
      </c>
      <c r="AF6">
        <v>0</v>
      </c>
      <c r="AG6">
        <v>0</v>
      </c>
      <c r="AH6">
        <v>0</v>
      </c>
      <c r="AI6">
        <v>6.35</v>
      </c>
      <c r="AJ6">
        <v>1</v>
      </c>
      <c r="AK6">
        <v>1</v>
      </c>
      <c r="AL6">
        <v>1</v>
      </c>
      <c r="AN6">
        <v>0</v>
      </c>
      <c r="AO6">
        <v>0</v>
      </c>
      <c r="AP6">
        <v>0</v>
      </c>
      <c r="AQ6">
        <v>0</v>
      </c>
      <c r="AR6">
        <v>0</v>
      </c>
      <c r="AS6" t="s">
        <v>3</v>
      </c>
      <c r="AT6">
        <v>206</v>
      </c>
      <c r="AU6" t="s">
        <v>3</v>
      </c>
      <c r="AV6">
        <v>0</v>
      </c>
      <c r="AW6">
        <v>1</v>
      </c>
      <c r="AX6">
        <v>-1</v>
      </c>
      <c r="AY6">
        <v>0</v>
      </c>
      <c r="AZ6">
        <v>0</v>
      </c>
      <c r="BA6" t="s">
        <v>3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Y6*Source!I33</f>
        <v>133.9</v>
      </c>
      <c r="CY6">
        <f>AA6</f>
        <v>60.54</v>
      </c>
      <c r="CZ6">
        <f>AE6</f>
        <v>8.82</v>
      </c>
      <c r="DA6">
        <f>AI6</f>
        <v>6.35</v>
      </c>
      <c r="DB6">
        <f t="shared" si="0"/>
        <v>1816.92</v>
      </c>
      <c r="DC6">
        <f t="shared" si="1"/>
        <v>0</v>
      </c>
    </row>
    <row r="7" spans="1:107" x14ac:dyDescent="0.2">
      <c r="A7">
        <f>ROW(Source!A35)</f>
        <v>35</v>
      </c>
      <c r="B7">
        <v>23689695</v>
      </c>
      <c r="C7">
        <v>23690068</v>
      </c>
      <c r="D7">
        <v>16804829</v>
      </c>
      <c r="E7">
        <v>16804826</v>
      </c>
      <c r="F7">
        <v>1</v>
      </c>
      <c r="G7">
        <v>16804826</v>
      </c>
      <c r="H7">
        <v>1</v>
      </c>
      <c r="I7" t="s">
        <v>217</v>
      </c>
      <c r="J7" t="s">
        <v>3</v>
      </c>
      <c r="K7" t="s">
        <v>218</v>
      </c>
      <c r="L7">
        <v>1191</v>
      </c>
      <c r="N7">
        <v>1013</v>
      </c>
      <c r="O7" t="s">
        <v>219</v>
      </c>
      <c r="P7" t="s">
        <v>219</v>
      </c>
      <c r="Q7">
        <v>1</v>
      </c>
      <c r="W7">
        <v>0</v>
      </c>
      <c r="X7">
        <v>946207192</v>
      </c>
      <c r="Y7">
        <v>12.9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1</v>
      </c>
      <c r="AQ7">
        <v>0</v>
      </c>
      <c r="AR7">
        <v>0</v>
      </c>
      <c r="AS7" t="s">
        <v>3</v>
      </c>
      <c r="AT7">
        <v>12.9</v>
      </c>
      <c r="AU7" t="s">
        <v>3</v>
      </c>
      <c r="AV7">
        <v>1</v>
      </c>
      <c r="AW7">
        <v>2</v>
      </c>
      <c r="AX7">
        <v>23690072</v>
      </c>
      <c r="AY7">
        <v>1</v>
      </c>
      <c r="AZ7">
        <v>0</v>
      </c>
      <c r="BA7">
        <v>8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Y7*Source!I35</f>
        <v>3.0186000000000002</v>
      </c>
      <c r="CY7">
        <f>AD7</f>
        <v>0</v>
      </c>
      <c r="CZ7">
        <f>AH7</f>
        <v>0</v>
      </c>
      <c r="DA7">
        <f>AL7</f>
        <v>1</v>
      </c>
      <c r="DB7">
        <f t="shared" si="0"/>
        <v>0</v>
      </c>
      <c r="DC7">
        <f t="shared" si="1"/>
        <v>0</v>
      </c>
    </row>
    <row r="8" spans="1:107" x14ac:dyDescent="0.2">
      <c r="A8">
        <f>ROW(Source!A35)</f>
        <v>35</v>
      </c>
      <c r="B8">
        <v>23689695</v>
      </c>
      <c r="C8">
        <v>23690068</v>
      </c>
      <c r="D8">
        <v>16945374</v>
      </c>
      <c r="E8">
        <v>1</v>
      </c>
      <c r="F8">
        <v>1</v>
      </c>
      <c r="G8">
        <v>16804826</v>
      </c>
      <c r="H8">
        <v>2</v>
      </c>
      <c r="I8" t="s">
        <v>227</v>
      </c>
      <c r="J8" t="s">
        <v>228</v>
      </c>
      <c r="K8" t="s">
        <v>229</v>
      </c>
      <c r="L8">
        <v>1368</v>
      </c>
      <c r="N8">
        <v>1011</v>
      </c>
      <c r="O8" t="s">
        <v>223</v>
      </c>
      <c r="P8" t="s">
        <v>223</v>
      </c>
      <c r="Q8">
        <v>1</v>
      </c>
      <c r="W8">
        <v>0</v>
      </c>
      <c r="X8">
        <v>1594498641</v>
      </c>
      <c r="Y8">
        <v>12.5</v>
      </c>
      <c r="AA8">
        <v>0</v>
      </c>
      <c r="AB8">
        <v>779.42</v>
      </c>
      <c r="AC8">
        <v>480.23</v>
      </c>
      <c r="AD8">
        <v>0</v>
      </c>
      <c r="AE8">
        <v>0</v>
      </c>
      <c r="AF8">
        <v>60.77</v>
      </c>
      <c r="AG8">
        <v>18.48</v>
      </c>
      <c r="AH8">
        <v>0</v>
      </c>
      <c r="AI8">
        <v>1</v>
      </c>
      <c r="AJ8">
        <v>12.25</v>
      </c>
      <c r="AK8">
        <v>24.82</v>
      </c>
      <c r="AL8">
        <v>1</v>
      </c>
      <c r="AN8">
        <v>0</v>
      </c>
      <c r="AO8">
        <v>1</v>
      </c>
      <c r="AP8">
        <v>1</v>
      </c>
      <c r="AQ8">
        <v>0</v>
      </c>
      <c r="AR8">
        <v>0</v>
      </c>
      <c r="AS8" t="s">
        <v>3</v>
      </c>
      <c r="AT8">
        <v>12.5</v>
      </c>
      <c r="AU8" t="s">
        <v>3</v>
      </c>
      <c r="AV8">
        <v>0</v>
      </c>
      <c r="AW8">
        <v>2</v>
      </c>
      <c r="AX8">
        <v>23690073</v>
      </c>
      <c r="AY8">
        <v>1</v>
      </c>
      <c r="AZ8">
        <v>0</v>
      </c>
      <c r="BA8">
        <v>9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Y8*Source!I35</f>
        <v>2.9250000000000003</v>
      </c>
      <c r="CY8">
        <f>AB8</f>
        <v>779.42</v>
      </c>
      <c r="CZ8">
        <f>AF8</f>
        <v>60.77</v>
      </c>
      <c r="DA8">
        <f>AJ8</f>
        <v>12.25</v>
      </c>
      <c r="DB8">
        <f t="shared" si="0"/>
        <v>759.63</v>
      </c>
      <c r="DC8">
        <f t="shared" si="1"/>
        <v>231</v>
      </c>
    </row>
    <row r="9" spans="1:107" x14ac:dyDescent="0.2">
      <c r="A9">
        <f>ROW(Source!A35)</f>
        <v>35</v>
      </c>
      <c r="B9">
        <v>23689695</v>
      </c>
      <c r="C9">
        <v>23690068</v>
      </c>
      <c r="D9">
        <v>16945764</v>
      </c>
      <c r="E9">
        <v>1</v>
      </c>
      <c r="F9">
        <v>1</v>
      </c>
      <c r="G9">
        <v>16804826</v>
      </c>
      <c r="H9">
        <v>2</v>
      </c>
      <c r="I9" t="s">
        <v>230</v>
      </c>
      <c r="J9" t="s">
        <v>231</v>
      </c>
      <c r="K9" t="s">
        <v>232</v>
      </c>
      <c r="L9">
        <v>1368</v>
      </c>
      <c r="N9">
        <v>1011</v>
      </c>
      <c r="O9" t="s">
        <v>223</v>
      </c>
      <c r="P9" t="s">
        <v>223</v>
      </c>
      <c r="Q9">
        <v>1</v>
      </c>
      <c r="W9">
        <v>0</v>
      </c>
      <c r="X9">
        <v>-412534680</v>
      </c>
      <c r="Y9">
        <v>12.5</v>
      </c>
      <c r="AA9">
        <v>0</v>
      </c>
      <c r="AB9">
        <v>3.48</v>
      </c>
      <c r="AC9">
        <v>2.34</v>
      </c>
      <c r="AD9">
        <v>0</v>
      </c>
      <c r="AE9">
        <v>0</v>
      </c>
      <c r="AF9">
        <v>0.56000000000000005</v>
      </c>
      <c r="AG9">
        <v>0.09</v>
      </c>
      <c r="AH9">
        <v>0</v>
      </c>
      <c r="AI9">
        <v>1</v>
      </c>
      <c r="AJ9">
        <v>5.93</v>
      </c>
      <c r="AK9">
        <v>24.82</v>
      </c>
      <c r="AL9">
        <v>1</v>
      </c>
      <c r="AN9">
        <v>0</v>
      </c>
      <c r="AO9">
        <v>1</v>
      </c>
      <c r="AP9">
        <v>1</v>
      </c>
      <c r="AQ9">
        <v>0</v>
      </c>
      <c r="AR9">
        <v>0</v>
      </c>
      <c r="AS9" t="s">
        <v>3</v>
      </c>
      <c r="AT9">
        <v>12.5</v>
      </c>
      <c r="AU9" t="s">
        <v>3</v>
      </c>
      <c r="AV9">
        <v>0</v>
      </c>
      <c r="AW9">
        <v>2</v>
      </c>
      <c r="AX9">
        <v>23690074</v>
      </c>
      <c r="AY9">
        <v>1</v>
      </c>
      <c r="AZ9">
        <v>0</v>
      </c>
      <c r="BA9">
        <v>10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Y9*Source!I35</f>
        <v>2.9250000000000003</v>
      </c>
      <c r="CY9">
        <f>AB9</f>
        <v>3.48</v>
      </c>
      <c r="CZ9">
        <f>AF9</f>
        <v>0.56000000000000005</v>
      </c>
      <c r="DA9">
        <f>AJ9</f>
        <v>5.93</v>
      </c>
      <c r="DB9">
        <f t="shared" si="0"/>
        <v>7</v>
      </c>
      <c r="DC9">
        <f t="shared" si="1"/>
        <v>1.1299999999999999</v>
      </c>
    </row>
    <row r="10" spans="1:107" x14ac:dyDescent="0.2">
      <c r="A10">
        <f>ROW(Source!A73)</f>
        <v>73</v>
      </c>
      <c r="B10">
        <v>23689695</v>
      </c>
      <c r="C10">
        <v>23690077</v>
      </c>
      <c r="D10">
        <v>16804829</v>
      </c>
      <c r="E10">
        <v>16804826</v>
      </c>
      <c r="F10">
        <v>1</v>
      </c>
      <c r="G10">
        <v>16804826</v>
      </c>
      <c r="H10">
        <v>1</v>
      </c>
      <c r="I10" t="s">
        <v>217</v>
      </c>
      <c r="J10" t="s">
        <v>3</v>
      </c>
      <c r="K10" t="s">
        <v>218</v>
      </c>
      <c r="L10">
        <v>1191</v>
      </c>
      <c r="N10">
        <v>1013</v>
      </c>
      <c r="O10" t="s">
        <v>219</v>
      </c>
      <c r="P10" t="s">
        <v>219</v>
      </c>
      <c r="Q10">
        <v>1</v>
      </c>
      <c r="W10">
        <v>0</v>
      </c>
      <c r="X10">
        <v>946207192</v>
      </c>
      <c r="Y10">
        <v>2.5099999999999998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1</v>
      </c>
      <c r="AQ10">
        <v>0</v>
      </c>
      <c r="AR10">
        <v>0</v>
      </c>
      <c r="AS10" t="s">
        <v>3</v>
      </c>
      <c r="AT10">
        <v>2.5099999999999998</v>
      </c>
      <c r="AU10" t="s">
        <v>3</v>
      </c>
      <c r="AV10">
        <v>1</v>
      </c>
      <c r="AW10">
        <v>2</v>
      </c>
      <c r="AX10">
        <v>23690079</v>
      </c>
      <c r="AY10">
        <v>1</v>
      </c>
      <c r="AZ10">
        <v>0</v>
      </c>
      <c r="BA10">
        <v>11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Y10*Source!I73</f>
        <v>5.0199999999999996</v>
      </c>
      <c r="CY10">
        <f>AD10</f>
        <v>0</v>
      </c>
      <c r="CZ10">
        <f>AH10</f>
        <v>0</v>
      </c>
      <c r="DA10">
        <f>AL10</f>
        <v>1</v>
      </c>
      <c r="DB10">
        <f t="shared" si="0"/>
        <v>0</v>
      </c>
      <c r="DC10">
        <f t="shared" si="1"/>
        <v>0</v>
      </c>
    </row>
    <row r="11" spans="1:107" x14ac:dyDescent="0.2">
      <c r="A11">
        <f>ROW(Source!A188)</f>
        <v>188</v>
      </c>
      <c r="B11">
        <v>23689695</v>
      </c>
      <c r="C11">
        <v>23690089</v>
      </c>
      <c r="D11">
        <v>16804829</v>
      </c>
      <c r="E11">
        <v>16804826</v>
      </c>
      <c r="F11">
        <v>1</v>
      </c>
      <c r="G11">
        <v>16804826</v>
      </c>
      <c r="H11">
        <v>1</v>
      </c>
      <c r="I11" t="s">
        <v>217</v>
      </c>
      <c r="J11" t="s">
        <v>3</v>
      </c>
      <c r="K11" t="s">
        <v>218</v>
      </c>
      <c r="L11">
        <v>1191</v>
      </c>
      <c r="N11">
        <v>1013</v>
      </c>
      <c r="O11" t="s">
        <v>219</v>
      </c>
      <c r="P11" t="s">
        <v>219</v>
      </c>
      <c r="Q11">
        <v>1</v>
      </c>
      <c r="W11">
        <v>0</v>
      </c>
      <c r="X11">
        <v>946207192</v>
      </c>
      <c r="Y11">
        <v>1.224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1</v>
      </c>
      <c r="AQ11">
        <v>0</v>
      </c>
      <c r="AR11">
        <v>0</v>
      </c>
      <c r="AS11" t="s">
        <v>3</v>
      </c>
      <c r="AT11">
        <v>1.02</v>
      </c>
      <c r="AU11" t="s">
        <v>203</v>
      </c>
      <c r="AV11">
        <v>1</v>
      </c>
      <c r="AW11">
        <v>2</v>
      </c>
      <c r="AX11">
        <v>23690091</v>
      </c>
      <c r="AY11">
        <v>1</v>
      </c>
      <c r="AZ11">
        <v>0</v>
      </c>
      <c r="BA11">
        <v>12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Y11*Source!I188</f>
        <v>0.12240000000000001</v>
      </c>
      <c r="CY11">
        <f>AD11</f>
        <v>0</v>
      </c>
      <c r="CZ11">
        <f>AH11</f>
        <v>0</v>
      </c>
      <c r="DA11">
        <f>AL11</f>
        <v>1</v>
      </c>
      <c r="DB11">
        <f>ROUND((ROUND(AT11*CZ11,2)*1.2),6)</f>
        <v>0</v>
      </c>
      <c r="DC11">
        <f>ROUND((ROUND(AT11*AG11,2)*1.2),6)</f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ROW(Source!A28)</f>
        <v>28</v>
      </c>
      <c r="B1">
        <v>23690050</v>
      </c>
      <c r="C1">
        <v>23690048</v>
      </c>
      <c r="D1">
        <v>16804829</v>
      </c>
      <c r="E1">
        <v>16804826</v>
      </c>
      <c r="F1">
        <v>1</v>
      </c>
      <c r="G1">
        <v>16804826</v>
      </c>
      <c r="H1">
        <v>1</v>
      </c>
      <c r="I1" t="s">
        <v>217</v>
      </c>
      <c r="J1" t="s">
        <v>3</v>
      </c>
      <c r="K1" t="s">
        <v>218</v>
      </c>
      <c r="L1">
        <v>1191</v>
      </c>
      <c r="N1">
        <v>1013</v>
      </c>
      <c r="O1" t="s">
        <v>219</v>
      </c>
      <c r="P1" t="s">
        <v>219</v>
      </c>
      <c r="Q1">
        <v>1</v>
      </c>
      <c r="X1">
        <v>192.7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1</v>
      </c>
      <c r="AF1" t="s">
        <v>3</v>
      </c>
      <c r="AG1">
        <v>192.7</v>
      </c>
      <c r="AH1">
        <v>2</v>
      </c>
      <c r="AI1">
        <v>23690049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ROW(Source!A29)</f>
        <v>29</v>
      </c>
      <c r="B2">
        <v>23690053</v>
      </c>
      <c r="C2">
        <v>23690051</v>
      </c>
      <c r="D2">
        <v>16804829</v>
      </c>
      <c r="E2">
        <v>16804826</v>
      </c>
      <c r="F2">
        <v>1</v>
      </c>
      <c r="G2">
        <v>16804826</v>
      </c>
      <c r="H2">
        <v>1</v>
      </c>
      <c r="I2" t="s">
        <v>217</v>
      </c>
      <c r="J2" t="s">
        <v>3</v>
      </c>
      <c r="K2" t="s">
        <v>218</v>
      </c>
      <c r="L2">
        <v>1191</v>
      </c>
      <c r="N2">
        <v>1013</v>
      </c>
      <c r="O2" t="s">
        <v>219</v>
      </c>
      <c r="P2" t="s">
        <v>219</v>
      </c>
      <c r="Q2">
        <v>1</v>
      </c>
      <c r="X2">
        <v>107.04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1</v>
      </c>
      <c r="AF2" t="s">
        <v>3</v>
      </c>
      <c r="AG2">
        <v>107.04</v>
      </c>
      <c r="AH2">
        <v>2</v>
      </c>
      <c r="AI2">
        <v>23690052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ROW(Source!A30)</f>
        <v>30</v>
      </c>
      <c r="B3">
        <v>23690056</v>
      </c>
      <c r="C3">
        <v>23690054</v>
      </c>
      <c r="D3">
        <v>16945387</v>
      </c>
      <c r="E3">
        <v>1</v>
      </c>
      <c r="F3">
        <v>1</v>
      </c>
      <c r="G3">
        <v>16804826</v>
      </c>
      <c r="H3">
        <v>2</v>
      </c>
      <c r="I3" t="s">
        <v>220</v>
      </c>
      <c r="J3" t="s">
        <v>221</v>
      </c>
      <c r="K3" t="s">
        <v>222</v>
      </c>
      <c r="L3">
        <v>1368</v>
      </c>
      <c r="N3">
        <v>1011</v>
      </c>
      <c r="O3" t="s">
        <v>223</v>
      </c>
      <c r="P3" t="s">
        <v>223</v>
      </c>
      <c r="Q3">
        <v>1</v>
      </c>
      <c r="X3">
        <v>286</v>
      </c>
      <c r="Y3">
        <v>0</v>
      </c>
      <c r="Z3">
        <v>7.11</v>
      </c>
      <c r="AA3">
        <v>4.1900000000000004</v>
      </c>
      <c r="AB3">
        <v>0</v>
      </c>
      <c r="AC3">
        <v>0</v>
      </c>
      <c r="AD3">
        <v>1</v>
      </c>
      <c r="AE3">
        <v>0</v>
      </c>
      <c r="AF3" t="s">
        <v>3</v>
      </c>
      <c r="AG3">
        <v>286</v>
      </c>
      <c r="AH3">
        <v>2</v>
      </c>
      <c r="AI3">
        <v>23690055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ROW(Source!A32)</f>
        <v>32</v>
      </c>
      <c r="B4">
        <v>23690061</v>
      </c>
      <c r="C4">
        <v>23690058</v>
      </c>
      <c r="D4">
        <v>16804829</v>
      </c>
      <c r="E4">
        <v>16804826</v>
      </c>
      <c r="F4">
        <v>1</v>
      </c>
      <c r="G4">
        <v>16804826</v>
      </c>
      <c r="H4">
        <v>1</v>
      </c>
      <c r="I4" t="s">
        <v>217</v>
      </c>
      <c r="J4" t="s">
        <v>3</v>
      </c>
      <c r="K4" t="s">
        <v>218</v>
      </c>
      <c r="L4">
        <v>1191</v>
      </c>
      <c r="N4">
        <v>1013</v>
      </c>
      <c r="O4" t="s">
        <v>219</v>
      </c>
      <c r="P4" t="s">
        <v>219</v>
      </c>
      <c r="Q4">
        <v>1</v>
      </c>
      <c r="X4">
        <v>133</v>
      </c>
      <c r="Y4">
        <v>0</v>
      </c>
      <c r="Z4">
        <v>0</v>
      </c>
      <c r="AA4">
        <v>0</v>
      </c>
      <c r="AB4">
        <v>0</v>
      </c>
      <c r="AC4">
        <v>0</v>
      </c>
      <c r="AD4">
        <v>1</v>
      </c>
      <c r="AE4">
        <v>1</v>
      </c>
      <c r="AF4" t="s">
        <v>3</v>
      </c>
      <c r="AG4">
        <v>133</v>
      </c>
      <c r="AH4">
        <v>2</v>
      </c>
      <c r="AI4">
        <v>23690059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ROW(Source!A32)</f>
        <v>32</v>
      </c>
      <c r="B5">
        <v>23690062</v>
      </c>
      <c r="C5">
        <v>23690058</v>
      </c>
      <c r="D5">
        <v>16859845</v>
      </c>
      <c r="E5">
        <v>16804826</v>
      </c>
      <c r="F5">
        <v>1</v>
      </c>
      <c r="G5">
        <v>16804826</v>
      </c>
      <c r="H5">
        <v>3</v>
      </c>
      <c r="I5" t="s">
        <v>224</v>
      </c>
      <c r="J5" t="s">
        <v>3</v>
      </c>
      <c r="K5" t="s">
        <v>225</v>
      </c>
      <c r="L5">
        <v>1344</v>
      </c>
      <c r="N5">
        <v>1008</v>
      </c>
      <c r="O5" t="s">
        <v>226</v>
      </c>
      <c r="P5" t="s">
        <v>226</v>
      </c>
      <c r="Q5">
        <v>1</v>
      </c>
      <c r="X5">
        <v>44.38</v>
      </c>
      <c r="Y5">
        <v>1</v>
      </c>
      <c r="Z5">
        <v>0</v>
      </c>
      <c r="AA5">
        <v>0</v>
      </c>
      <c r="AB5">
        <v>0</v>
      </c>
      <c r="AC5">
        <v>0</v>
      </c>
      <c r="AD5">
        <v>1</v>
      </c>
      <c r="AE5">
        <v>0</v>
      </c>
      <c r="AF5" t="s">
        <v>3</v>
      </c>
      <c r="AG5">
        <v>44.38</v>
      </c>
      <c r="AH5">
        <v>2</v>
      </c>
      <c r="AI5">
        <v>23690060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ROW(Source!A32)</f>
        <v>32</v>
      </c>
      <c r="B6">
        <v>23690063</v>
      </c>
      <c r="C6">
        <v>23690058</v>
      </c>
      <c r="D6">
        <v>16814585</v>
      </c>
      <c r="E6">
        <v>16804826</v>
      </c>
      <c r="F6">
        <v>1</v>
      </c>
      <c r="G6">
        <v>16804826</v>
      </c>
      <c r="H6">
        <v>3</v>
      </c>
      <c r="I6" t="s">
        <v>233</v>
      </c>
      <c r="J6" t="s">
        <v>3</v>
      </c>
      <c r="K6" t="s">
        <v>234</v>
      </c>
      <c r="L6">
        <v>1301</v>
      </c>
      <c r="N6">
        <v>1003</v>
      </c>
      <c r="O6" t="s">
        <v>195</v>
      </c>
      <c r="P6" t="s">
        <v>195</v>
      </c>
      <c r="Q6">
        <v>1</v>
      </c>
      <c r="X6">
        <v>1000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 t="s">
        <v>3</v>
      </c>
      <c r="AG6">
        <v>1000</v>
      </c>
      <c r="AH6">
        <v>3</v>
      </c>
      <c r="AI6">
        <v>-1</v>
      </c>
      <c r="AJ6" t="s">
        <v>3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ROW(Source!A33)</f>
        <v>33</v>
      </c>
      <c r="B7">
        <v>23690066</v>
      </c>
      <c r="C7">
        <v>23690064</v>
      </c>
      <c r="D7">
        <v>16847200</v>
      </c>
      <c r="E7">
        <v>16804826</v>
      </c>
      <c r="F7">
        <v>1</v>
      </c>
      <c r="G7">
        <v>16804826</v>
      </c>
      <c r="H7">
        <v>3</v>
      </c>
      <c r="I7" t="s">
        <v>235</v>
      </c>
      <c r="J7" t="s">
        <v>3</v>
      </c>
      <c r="K7" t="s">
        <v>236</v>
      </c>
      <c r="L7">
        <v>1354</v>
      </c>
      <c r="N7">
        <v>1010</v>
      </c>
      <c r="O7" t="s">
        <v>65</v>
      </c>
      <c r="P7" t="s">
        <v>65</v>
      </c>
      <c r="Q7">
        <v>1</v>
      </c>
      <c r="X7">
        <v>206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 t="s">
        <v>3</v>
      </c>
      <c r="AG7">
        <v>206</v>
      </c>
      <c r="AH7">
        <v>3</v>
      </c>
      <c r="AI7">
        <v>-1</v>
      </c>
      <c r="AJ7" t="s">
        <v>3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ROW(Source!A35)</f>
        <v>35</v>
      </c>
      <c r="B8">
        <v>23690072</v>
      </c>
      <c r="C8">
        <v>23690068</v>
      </c>
      <c r="D8">
        <v>16804829</v>
      </c>
      <c r="E8">
        <v>16804826</v>
      </c>
      <c r="F8">
        <v>1</v>
      </c>
      <c r="G8">
        <v>16804826</v>
      </c>
      <c r="H8">
        <v>1</v>
      </c>
      <c r="I8" t="s">
        <v>217</v>
      </c>
      <c r="J8" t="s">
        <v>3</v>
      </c>
      <c r="K8" t="s">
        <v>218</v>
      </c>
      <c r="L8">
        <v>1191</v>
      </c>
      <c r="N8">
        <v>1013</v>
      </c>
      <c r="O8" t="s">
        <v>219</v>
      </c>
      <c r="P8" t="s">
        <v>219</v>
      </c>
      <c r="Q8">
        <v>1</v>
      </c>
      <c r="X8">
        <v>12.9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1</v>
      </c>
      <c r="AF8" t="s">
        <v>3</v>
      </c>
      <c r="AG8">
        <v>12.9</v>
      </c>
      <c r="AH8">
        <v>2</v>
      </c>
      <c r="AI8">
        <v>23690069</v>
      </c>
      <c r="AJ8">
        <v>7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ROW(Source!A35)</f>
        <v>35</v>
      </c>
      <c r="B9">
        <v>23690073</v>
      </c>
      <c r="C9">
        <v>23690068</v>
      </c>
      <c r="D9">
        <v>16945374</v>
      </c>
      <c r="E9">
        <v>1</v>
      </c>
      <c r="F9">
        <v>1</v>
      </c>
      <c r="G9">
        <v>16804826</v>
      </c>
      <c r="H9">
        <v>2</v>
      </c>
      <c r="I9" t="s">
        <v>227</v>
      </c>
      <c r="J9" t="s">
        <v>228</v>
      </c>
      <c r="K9" t="s">
        <v>229</v>
      </c>
      <c r="L9">
        <v>1368</v>
      </c>
      <c r="N9">
        <v>1011</v>
      </c>
      <c r="O9" t="s">
        <v>223</v>
      </c>
      <c r="P9" t="s">
        <v>223</v>
      </c>
      <c r="Q9">
        <v>1</v>
      </c>
      <c r="X9">
        <v>12.5</v>
      </c>
      <c r="Y9">
        <v>0</v>
      </c>
      <c r="Z9">
        <v>60.77</v>
      </c>
      <c r="AA9">
        <v>18.48</v>
      </c>
      <c r="AB9">
        <v>0</v>
      </c>
      <c r="AC9">
        <v>0</v>
      </c>
      <c r="AD9">
        <v>1</v>
      </c>
      <c r="AE9">
        <v>0</v>
      </c>
      <c r="AF9" t="s">
        <v>3</v>
      </c>
      <c r="AG9">
        <v>12.5</v>
      </c>
      <c r="AH9">
        <v>2</v>
      </c>
      <c r="AI9">
        <v>23690070</v>
      </c>
      <c r="AJ9">
        <v>8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ROW(Source!A35)</f>
        <v>35</v>
      </c>
      <c r="B10">
        <v>23690074</v>
      </c>
      <c r="C10">
        <v>23690068</v>
      </c>
      <c r="D10">
        <v>16945764</v>
      </c>
      <c r="E10">
        <v>1</v>
      </c>
      <c r="F10">
        <v>1</v>
      </c>
      <c r="G10">
        <v>16804826</v>
      </c>
      <c r="H10">
        <v>2</v>
      </c>
      <c r="I10" t="s">
        <v>230</v>
      </c>
      <c r="J10" t="s">
        <v>231</v>
      </c>
      <c r="K10" t="s">
        <v>232</v>
      </c>
      <c r="L10">
        <v>1368</v>
      </c>
      <c r="N10">
        <v>1011</v>
      </c>
      <c r="O10" t="s">
        <v>223</v>
      </c>
      <c r="P10" t="s">
        <v>223</v>
      </c>
      <c r="Q10">
        <v>1</v>
      </c>
      <c r="X10">
        <v>12.5</v>
      </c>
      <c r="Y10">
        <v>0</v>
      </c>
      <c r="Z10">
        <v>0.56000000000000005</v>
      </c>
      <c r="AA10">
        <v>0.09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12.5</v>
      </c>
      <c r="AH10">
        <v>2</v>
      </c>
      <c r="AI10">
        <v>23690071</v>
      </c>
      <c r="AJ10">
        <v>9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ROW(Source!A73)</f>
        <v>73</v>
      </c>
      <c r="B11">
        <v>23690079</v>
      </c>
      <c r="C11">
        <v>23690077</v>
      </c>
      <c r="D11">
        <v>16804829</v>
      </c>
      <c r="E11">
        <v>16804826</v>
      </c>
      <c r="F11">
        <v>1</v>
      </c>
      <c r="G11">
        <v>16804826</v>
      </c>
      <c r="H11">
        <v>1</v>
      </c>
      <c r="I11" t="s">
        <v>217</v>
      </c>
      <c r="J11" t="s">
        <v>3</v>
      </c>
      <c r="K11" t="s">
        <v>218</v>
      </c>
      <c r="L11">
        <v>1191</v>
      </c>
      <c r="N11">
        <v>1013</v>
      </c>
      <c r="O11" t="s">
        <v>219</v>
      </c>
      <c r="P11" t="s">
        <v>219</v>
      </c>
      <c r="Q11">
        <v>1</v>
      </c>
      <c r="X11">
        <v>2.5099999999999998</v>
      </c>
      <c r="Y11">
        <v>0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1</v>
      </c>
      <c r="AF11" t="s">
        <v>3</v>
      </c>
      <c r="AG11">
        <v>2.5099999999999998</v>
      </c>
      <c r="AH11">
        <v>2</v>
      </c>
      <c r="AI11">
        <v>23690078</v>
      </c>
      <c r="AJ11">
        <v>10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ROW(Source!A188)</f>
        <v>188</v>
      </c>
      <c r="B12">
        <v>23690091</v>
      </c>
      <c r="C12">
        <v>23690089</v>
      </c>
      <c r="D12">
        <v>16804829</v>
      </c>
      <c r="E12">
        <v>16804826</v>
      </c>
      <c r="F12">
        <v>1</v>
      </c>
      <c r="G12">
        <v>16804826</v>
      </c>
      <c r="H12">
        <v>1</v>
      </c>
      <c r="I12" t="s">
        <v>217</v>
      </c>
      <c r="J12" t="s">
        <v>3</v>
      </c>
      <c r="K12" t="s">
        <v>218</v>
      </c>
      <c r="L12">
        <v>1191</v>
      </c>
      <c r="N12">
        <v>1013</v>
      </c>
      <c r="O12" t="s">
        <v>219</v>
      </c>
      <c r="P12" t="s">
        <v>219</v>
      </c>
      <c r="Q12">
        <v>1</v>
      </c>
      <c r="X12">
        <v>1.02</v>
      </c>
      <c r="Y12">
        <v>0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1</v>
      </c>
      <c r="AF12" t="s">
        <v>203</v>
      </c>
      <c r="AG12">
        <v>1.224</v>
      </c>
      <c r="AH12">
        <v>2</v>
      </c>
      <c r="AI12">
        <v>23690090</v>
      </c>
      <c r="AJ12">
        <v>11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Смета по ТСН-2001</vt:lpstr>
      <vt:lpstr>Акт КС-2 по ТСН-2001</vt:lpstr>
      <vt:lpstr>Макет форма-3</vt:lpstr>
      <vt:lpstr>Source</vt:lpstr>
      <vt:lpstr>SourceObSm</vt:lpstr>
      <vt:lpstr>SmtRes</vt:lpstr>
      <vt:lpstr>EtalonRes</vt:lpstr>
      <vt:lpstr>'Акт КС-2 по ТСН-2001'!Заголовки_для_печати</vt:lpstr>
      <vt:lpstr>'Смета по ТСН-2001'!Заголовки_для_печати</vt:lpstr>
      <vt:lpstr>'Акт КС-2 по ТСН-2001'!Область_печати</vt:lpstr>
      <vt:lpstr>'Смета по ТСН-2001'!Область_печати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dcterms:created xsi:type="dcterms:W3CDTF">2021-08-26T10:37:12Z</dcterms:created>
  <dcterms:modified xsi:type="dcterms:W3CDTF">2021-08-26T10:43:44Z</dcterms:modified>
</cp:coreProperties>
</file>